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925812\t\KCDC GRANT\BCA and Narrative\"/>
    </mc:Choice>
  </mc:AlternateContent>
  <xr:revisionPtr revIDLastSave="0" documentId="13_ncr:1_{BF49CC47-D155-459F-8675-DB1C1DF95DAC}" xr6:coauthVersionLast="47" xr6:coauthVersionMax="47" xr10:uidLastSave="{00000000-0000-0000-0000-000000000000}"/>
  <bookViews>
    <workbookView xWindow="57360" yWindow="-240" windowWidth="29280" windowHeight="17880" firstSheet="13" activeTab="17" xr2:uid="{4CDF0EB5-7701-404C-904A-D991A10C0469}"/>
  </bookViews>
  <sheets>
    <sheet name="BCA" sheetId="13" r:id="rId1"/>
    <sheet name="BCA_CapitalCosts" sheetId="11" r:id="rId2"/>
    <sheet name="PROJECT SUMMARY" sheetId="24" r:id="rId3"/>
    <sheet name="PROJECT SPENDING" sheetId="34" r:id="rId4"/>
    <sheet name="CAPITAL Inflation" sheetId="2" r:id="rId5"/>
    <sheet name="TRIP GENERATION" sheetId="22" r:id="rId6"/>
    <sheet name="CRASH SUMMARY" sheetId="37" r:id="rId7"/>
    <sheet name="EQUITY Ped &amp; Bike" sheetId="27" r:id="rId8"/>
    <sheet name="EQUITY - Bike Commuter" sheetId="36" r:id="rId9"/>
    <sheet name="MOBILITY - Bike Commuter" sheetId="30" r:id="rId10"/>
    <sheet name="MOBILITY Bike Commuter STADIUM" sheetId="35" r:id="rId11"/>
    <sheet name="MOBILITY Ped &amp; Bike" sheetId="20" r:id="rId12"/>
    <sheet name="MOBILITY Ped &amp; Bike UW " sheetId="26" r:id="rId13"/>
    <sheet name="MOBILITY Ped &amp; Bike STADIUM " sheetId="28" r:id="rId14"/>
    <sheet name="SAFETY NOBUILD Crash" sheetId="1" r:id="rId15"/>
    <sheet name="SAFETY BUILD Crash Reduction" sheetId="29" r:id="rId16"/>
    <sheet name="HEALTH Mortality Reduction" sheetId="21" r:id="rId17"/>
    <sheet name="OPERATIONAL Residual" sheetId="12" r:id="rId18"/>
  </sheets>
  <definedNames>
    <definedName name="_xlnm.Print_Area" localSheetId="2">'PROJECT SUMMARY'!$A$1:$P$27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37" l="1"/>
  <c r="C13" i="37" s="1"/>
  <c r="B12" i="37"/>
  <c r="B13" i="37" s="1"/>
  <c r="D11" i="37"/>
  <c r="D10" i="37"/>
  <c r="C8" i="37"/>
  <c r="B8" i="37"/>
  <c r="D8" i="37" s="1"/>
  <c r="B15" i="37" l="1"/>
  <c r="C15" i="37"/>
  <c r="D12" i="37"/>
  <c r="D13" i="37" s="1"/>
  <c r="D15" i="37" l="1"/>
  <c r="C19" i="37"/>
  <c r="C17" i="37"/>
  <c r="B19" i="37"/>
  <c r="B17" i="37"/>
  <c r="P27" i="11"/>
  <c r="R27" i="11"/>
  <c r="Q27" i="11"/>
  <c r="I27" i="11"/>
  <c r="K27" i="11"/>
  <c r="J27" i="11"/>
  <c r="K13" i="34"/>
  <c r="B8" i="34"/>
  <c r="E12" i="34"/>
  <c r="J9" i="24"/>
  <c r="L9" i="34"/>
  <c r="L19" i="34" s="1"/>
  <c r="N9" i="34"/>
  <c r="N19" i="34"/>
  <c r="M9" i="34"/>
  <c r="M10" i="34"/>
  <c r="M11" i="34"/>
  <c r="M19" i="34"/>
  <c r="M8" i="34"/>
  <c r="N8" i="34"/>
  <c r="F8" i="34"/>
  <c r="K19" i="34"/>
  <c r="H19" i="34"/>
  <c r="G19" i="34"/>
  <c r="E19" i="34"/>
  <c r="D19" i="34"/>
  <c r="C19" i="34"/>
  <c r="F9" i="34"/>
  <c r="F14" i="34"/>
  <c r="F15" i="34"/>
  <c r="F16" i="34"/>
  <c r="F17" i="34"/>
  <c r="F18" i="34"/>
  <c r="H5" i="34"/>
  <c r="H6" i="34"/>
  <c r="H7" i="34"/>
  <c r="H8" i="34"/>
  <c r="H9" i="34"/>
  <c r="H10" i="34"/>
  <c r="H11" i="34"/>
  <c r="H12" i="34"/>
  <c r="H13" i="34"/>
  <c r="H14" i="34"/>
  <c r="H15" i="34"/>
  <c r="H16" i="34"/>
  <c r="H17" i="34"/>
  <c r="H18" i="34"/>
  <c r="G5" i="34"/>
  <c r="F5" i="34" s="1"/>
  <c r="G6" i="34"/>
  <c r="F6" i="34" s="1"/>
  <c r="G7" i="34"/>
  <c r="F7" i="34" s="1"/>
  <c r="G8" i="34"/>
  <c r="G9" i="34"/>
  <c r="G10" i="34"/>
  <c r="F10" i="34" s="1"/>
  <c r="G11" i="34"/>
  <c r="F11" i="34" s="1"/>
  <c r="G12" i="34"/>
  <c r="F12" i="34" s="1"/>
  <c r="G13" i="34"/>
  <c r="F13" i="34" s="1"/>
  <c r="G14" i="34"/>
  <c r="G15" i="34"/>
  <c r="G16" i="34"/>
  <c r="G17" i="34"/>
  <c r="G18" i="34"/>
  <c r="L5" i="34"/>
  <c r="B21" i="37" l="1"/>
  <c r="B23" i="37" s="1"/>
  <c r="B20" i="37"/>
  <c r="C20" i="37"/>
  <c r="C21" i="37"/>
  <c r="C23" i="37" s="1"/>
  <c r="D17" i="37"/>
  <c r="D19" i="37"/>
  <c r="F19" i="34"/>
  <c r="D21" i="37" l="1"/>
  <c r="D23" i="37" s="1"/>
  <c r="D20" i="37"/>
  <c r="D101" i="22" l="1"/>
  <c r="E101" i="22" s="1"/>
  <c r="E95" i="22"/>
  <c r="C98" i="22" l="1"/>
  <c r="E58" i="22"/>
  <c r="T31" i="26"/>
  <c r="F50" i="21" l="1"/>
  <c r="F48" i="21"/>
  <c r="S33" i="26" l="1"/>
  <c r="O37" i="11" l="1"/>
  <c r="C65" i="11" s="1"/>
  <c r="R35" i="11"/>
  <c r="Q35" i="11"/>
  <c r="O35" i="11"/>
  <c r="C58" i="11" s="1"/>
  <c r="N35" i="11"/>
  <c r="C57" i="11" s="1"/>
  <c r="X20" i="11"/>
  <c r="Y20" i="11"/>
  <c r="AA20" i="11"/>
  <c r="C27" i="11"/>
  <c r="V26" i="11"/>
  <c r="Y26" i="11"/>
  <c r="Z26" i="11"/>
  <c r="AA26" i="11"/>
  <c r="AC26" i="11"/>
  <c r="AE26" i="11"/>
  <c r="AF26" i="11"/>
  <c r="AG26" i="11"/>
  <c r="AH26" i="11"/>
  <c r="D27" i="11" l="1"/>
  <c r="H35" i="11"/>
  <c r="D58" i="11" s="1"/>
  <c r="G35" i="11"/>
  <c r="D57" i="11" s="1"/>
  <c r="H37" i="11"/>
  <c r="D65" i="11" s="1"/>
  <c r="AA28" i="11" l="1"/>
  <c r="C23" i="11"/>
  <c r="X32" i="11"/>
  <c r="X31" i="11"/>
  <c r="F9" i="24"/>
  <c r="C30" i="11"/>
  <c r="N30" i="11" l="1"/>
  <c r="N37" i="11" s="1"/>
  <c r="C64" i="11" s="1"/>
  <c r="D30" i="11"/>
  <c r="G30" i="11" s="1"/>
  <c r="D23" i="11"/>
  <c r="E23" i="11" s="1"/>
  <c r="E35" i="11" s="1"/>
  <c r="D60" i="11" s="1"/>
  <c r="L23" i="11"/>
  <c r="L35" i="11" s="1"/>
  <c r="C60" i="11" s="1"/>
  <c r="M23" i="11" l="1"/>
  <c r="M35" i="11" s="1"/>
  <c r="C59" i="11" s="1"/>
  <c r="F23" i="11"/>
  <c r="F35" i="11" s="1"/>
  <c r="D59" i="11" s="1"/>
  <c r="G37" i="11"/>
  <c r="D64" i="11" s="1"/>
  <c r="K9" i="34"/>
  <c r="K10" i="34"/>
  <c r="K11" i="34"/>
  <c r="X17" i="11"/>
  <c r="E56" i="22"/>
  <c r="L3" i="26" s="1"/>
  <c r="D88" i="22"/>
  <c r="E88" i="22" s="1"/>
  <c r="D44" i="22"/>
  <c r="O4" i="24"/>
  <c r="D4" i="35" l="1"/>
  <c r="A7" i="35" s="1"/>
  <c r="A8" i="35" s="1"/>
  <c r="N18" i="34"/>
  <c r="M18" i="34"/>
  <c r="K18" i="34"/>
  <c r="B18" i="34"/>
  <c r="M17" i="34"/>
  <c r="K17" i="34"/>
  <c r="B17" i="34"/>
  <c r="L16" i="34"/>
  <c r="K16" i="34"/>
  <c r="B16" i="34"/>
  <c r="N15" i="34"/>
  <c r="M15" i="34"/>
  <c r="L15" i="34"/>
  <c r="K15" i="34"/>
  <c r="B15" i="34"/>
  <c r="N14" i="34"/>
  <c r="M14" i="34"/>
  <c r="C14" i="34"/>
  <c r="L14" i="34" s="1"/>
  <c r="B14" i="34"/>
  <c r="M13" i="34"/>
  <c r="L13" i="34"/>
  <c r="B13" i="34"/>
  <c r="J19" i="34"/>
  <c r="L11" i="34"/>
  <c r="E11" i="34"/>
  <c r="N11" i="34" s="1"/>
  <c r="B11" i="34"/>
  <c r="B10" i="34"/>
  <c r="E9" i="34"/>
  <c r="N7" i="34"/>
  <c r="M7" i="34"/>
  <c r="L7" i="34"/>
  <c r="C7" i="34"/>
  <c r="B7" i="34" s="1"/>
  <c r="M6" i="34"/>
  <c r="K6" i="34"/>
  <c r="B6" i="34"/>
  <c r="N5" i="34"/>
  <c r="M5" i="34"/>
  <c r="B5" i="34"/>
  <c r="G9" i="24"/>
  <c r="H10" i="24"/>
  <c r="D10" i="24"/>
  <c r="O10" i="24"/>
  <c r="O6" i="24"/>
  <c r="O16" i="24" s="1"/>
  <c r="H4" i="24"/>
  <c r="H6" i="24"/>
  <c r="H16" i="24" s="1"/>
  <c r="D6" i="24"/>
  <c r="V31" i="11"/>
  <c r="AG31" i="11"/>
  <c r="AG17" i="11"/>
  <c r="Z31" i="11"/>
  <c r="Z17" i="11"/>
  <c r="V17" i="11"/>
  <c r="B13" i="22"/>
  <c r="B9" i="34" l="1"/>
  <c r="B7" i="35"/>
  <c r="D7" i="35" s="1"/>
  <c r="D16" i="24"/>
  <c r="K14" i="34"/>
  <c r="B8" i="35"/>
  <c r="D8" i="35" s="1"/>
  <c r="A9" i="35"/>
  <c r="B12" i="34"/>
  <c r="B19" i="34" s="1"/>
  <c r="I19" i="34"/>
  <c r="A10" i="35" l="1"/>
  <c r="B9" i="35"/>
  <c r="D9" i="35" s="1"/>
  <c r="AH32" i="11"/>
  <c r="AH31" i="11"/>
  <c r="Y17" i="11"/>
  <c r="AF29" i="11"/>
  <c r="AE32" i="11"/>
  <c r="AE31" i="11"/>
  <c r="AE28" i="11"/>
  <c r="AD32" i="11"/>
  <c r="AD31" i="11"/>
  <c r="AC31" i="11"/>
  <c r="AC29" i="11"/>
  <c r="W32" i="11"/>
  <c r="W31" i="11"/>
  <c r="W29" i="11"/>
  <c r="AB17" i="11"/>
  <c r="AA17" i="11"/>
  <c r="AD18" i="11"/>
  <c r="AD26" i="11" s="1"/>
  <c r="W18" i="11"/>
  <c r="W26" i="11" s="1"/>
  <c r="AH17" i="11"/>
  <c r="AF17" i="11"/>
  <c r="AE17" i="11"/>
  <c r="AC17" i="11"/>
  <c r="U17" i="11"/>
  <c r="I6" i="26"/>
  <c r="C40" i="26"/>
  <c r="AD17" i="11" l="1"/>
  <c r="W17" i="11"/>
  <c r="A11" i="35"/>
  <c r="B10" i="35"/>
  <c r="D10" i="35" s="1"/>
  <c r="Y32" i="11"/>
  <c r="AA31" i="11"/>
  <c r="C22" i="11"/>
  <c r="AA32" i="11"/>
  <c r="Y29" i="11"/>
  <c r="C29" i="11" s="1"/>
  <c r="AD28" i="11"/>
  <c r="C28" i="11" s="1"/>
  <c r="D28" i="11" s="1"/>
  <c r="Y31" i="11"/>
  <c r="C31" i="11" s="1"/>
  <c r="D31" i="11" s="1"/>
  <c r="I7" i="26"/>
  <c r="J6" i="26"/>
  <c r="L6" i="26" s="1"/>
  <c r="N6" i="26" s="1"/>
  <c r="D29" i="11" l="1"/>
  <c r="Q29" i="11"/>
  <c r="R29" i="11"/>
  <c r="D22" i="11"/>
  <c r="P22" i="11"/>
  <c r="Q31" i="11"/>
  <c r="R31" i="11"/>
  <c r="P31" i="11"/>
  <c r="L28" i="11"/>
  <c r="M28" i="11" s="1"/>
  <c r="C32" i="11"/>
  <c r="D32" i="11" s="1"/>
  <c r="A12" i="35"/>
  <c r="B11" i="35"/>
  <c r="D11" i="35" s="1"/>
  <c r="C26" i="11"/>
  <c r="C24" i="11"/>
  <c r="J7" i="26"/>
  <c r="L7" i="26" s="1"/>
  <c r="I8" i="26"/>
  <c r="P29" i="11" l="1"/>
  <c r="J29" i="11"/>
  <c r="K29" i="11"/>
  <c r="D24" i="11"/>
  <c r="P24" i="11"/>
  <c r="P35" i="11" s="1"/>
  <c r="R32" i="11"/>
  <c r="Q32" i="11"/>
  <c r="P32" i="11"/>
  <c r="R37" i="11"/>
  <c r="C68" i="11" s="1"/>
  <c r="Q37" i="11"/>
  <c r="C67" i="11" s="1"/>
  <c r="E28" i="11"/>
  <c r="F28" i="11" s="1"/>
  <c r="L26" i="11"/>
  <c r="L37" i="11" s="1"/>
  <c r="I22" i="11"/>
  <c r="A13" i="35"/>
  <c r="B12" i="35"/>
  <c r="D12" i="35" s="1"/>
  <c r="I9" i="26"/>
  <c r="J8" i="26"/>
  <c r="L8" i="26" s="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J10" i="21"/>
  <c r="J9" i="21"/>
  <c r="C56" i="11" l="1"/>
  <c r="C61" i="11" s="1"/>
  <c r="I29" i="11"/>
  <c r="P37" i="11"/>
  <c r="C63" i="11" s="1"/>
  <c r="M26" i="11"/>
  <c r="M37" i="11" s="1"/>
  <c r="C66" i="11" s="1"/>
  <c r="B13" i="35"/>
  <c r="D13" i="35" s="1"/>
  <c r="A14" i="35"/>
  <c r="J9" i="26"/>
  <c r="L9" i="26" s="1"/>
  <c r="I10" i="26"/>
  <c r="P4" i="24"/>
  <c r="N4" i="24"/>
  <c r="M4" i="24"/>
  <c r="L4" i="24"/>
  <c r="K4" i="24"/>
  <c r="J4" i="24"/>
  <c r="I4" i="24"/>
  <c r="G4" i="24"/>
  <c r="F4" i="24"/>
  <c r="E4" i="24"/>
  <c r="C4" i="24"/>
  <c r="F6" i="24"/>
  <c r="F10" i="24"/>
  <c r="N6" i="24"/>
  <c r="K6" i="24"/>
  <c r="M6" i="24"/>
  <c r="P6" i="24"/>
  <c r="L7" i="24"/>
  <c r="L6" i="24" s="1"/>
  <c r="C6" i="24"/>
  <c r="E7" i="24"/>
  <c r="E6" i="24" s="1"/>
  <c r="J6" i="24"/>
  <c r="M10" i="24"/>
  <c r="K21" i="22"/>
  <c r="I9" i="24"/>
  <c r="I6" i="24" s="1"/>
  <c r="G6" i="24"/>
  <c r="A15" i="35" l="1"/>
  <c r="B14" i="35"/>
  <c r="D14" i="35" s="1"/>
  <c r="H21" i="22"/>
  <c r="M16" i="24"/>
  <c r="F16" i="24"/>
  <c r="I11" i="26"/>
  <c r="J10" i="26"/>
  <c r="L10" i="26" s="1"/>
  <c r="B6" i="24"/>
  <c r="B32" i="24" l="1"/>
  <c r="B74" i="11"/>
  <c r="B15" i="35"/>
  <c r="D15" i="35" s="1"/>
  <c r="A16" i="35"/>
  <c r="I12" i="26"/>
  <c r="J11" i="26"/>
  <c r="L11" i="26" s="1"/>
  <c r="J13" i="24"/>
  <c r="J14" i="24"/>
  <c r="B16" i="35" l="1"/>
  <c r="D16" i="35" s="1"/>
  <c r="A17" i="35"/>
  <c r="J12" i="26"/>
  <c r="L12" i="26" s="1"/>
  <c r="I13" i="26"/>
  <c r="J10" i="24"/>
  <c r="B13" i="24"/>
  <c r="E10" i="24"/>
  <c r="E16" i="24" s="1"/>
  <c r="A18" i="35" l="1"/>
  <c r="B17" i="35"/>
  <c r="D17" i="35" s="1"/>
  <c r="I14" i="26"/>
  <c r="J13" i="26"/>
  <c r="L13" i="26" s="1"/>
  <c r="B15" i="24"/>
  <c r="B8" i="24"/>
  <c r="B12" i="24"/>
  <c r="B11" i="24"/>
  <c r="B34" i="24" s="1"/>
  <c r="C34" i="24" s="1"/>
  <c r="P10" i="24"/>
  <c r="P16" i="24" s="1"/>
  <c r="N10" i="24"/>
  <c r="N16" i="24" s="1"/>
  <c r="L10" i="24"/>
  <c r="I10" i="24"/>
  <c r="I16" i="24" s="1"/>
  <c r="G10" i="24"/>
  <c r="G16" i="24" s="1"/>
  <c r="C10" i="24"/>
  <c r="A19" i="35" l="1"/>
  <c r="B18" i="35"/>
  <c r="D18" i="35" s="1"/>
  <c r="I15" i="26"/>
  <c r="J14" i="26"/>
  <c r="L14" i="26" s="1"/>
  <c r="B14" i="24"/>
  <c r="B33" i="24" s="1"/>
  <c r="C33" i="24" s="1"/>
  <c r="A20" i="35" l="1"/>
  <c r="B19" i="35"/>
  <c r="D19" i="35" s="1"/>
  <c r="J15" i="26"/>
  <c r="L15" i="26" s="1"/>
  <c r="I16" i="26"/>
  <c r="J16" i="24"/>
  <c r="D12" i="22"/>
  <c r="F12" i="22" s="1"/>
  <c r="D11" i="22"/>
  <c r="F11" i="22" s="1"/>
  <c r="D9" i="22"/>
  <c r="F9" i="22" s="1"/>
  <c r="D8" i="22"/>
  <c r="F8" i="22" s="1"/>
  <c r="D7" i="22"/>
  <c r="F7" i="22" s="1"/>
  <c r="D6" i="22"/>
  <c r="F6" i="22" s="1"/>
  <c r="D5" i="22"/>
  <c r="F5" i="22" s="1"/>
  <c r="D4" i="22"/>
  <c r="F4" i="22" s="1"/>
  <c r="D10" i="22"/>
  <c r="E4" i="22"/>
  <c r="E5" i="22"/>
  <c r="E6" i="22"/>
  <c r="E7" i="22"/>
  <c r="E8" i="22"/>
  <c r="E9" i="22"/>
  <c r="E10" i="22"/>
  <c r="E11" i="22"/>
  <c r="E12" i="22"/>
  <c r="C32" i="20"/>
  <c r="A21" i="35" l="1"/>
  <c r="B20" i="35"/>
  <c r="D20" i="35" s="1"/>
  <c r="I17" i="26"/>
  <c r="J16" i="26"/>
  <c r="L16" i="26" s="1"/>
  <c r="D13" i="22"/>
  <c r="F13" i="22" s="1"/>
  <c r="F10" i="22"/>
  <c r="H9" i="21"/>
  <c r="D75" i="22" l="1"/>
  <c r="E3" i="27" s="1"/>
  <c r="E6" i="27" s="1"/>
  <c r="E41" i="22"/>
  <c r="A22" i="35"/>
  <c r="B21" i="35"/>
  <c r="D21" i="35" s="1"/>
  <c r="C36" i="22"/>
  <c r="C44" i="22"/>
  <c r="E44" i="22" s="1"/>
  <c r="D4" i="36" s="1"/>
  <c r="A7" i="36" s="1"/>
  <c r="C41" i="22"/>
  <c r="C35" i="22"/>
  <c r="D76" i="22"/>
  <c r="J17" i="26"/>
  <c r="L17" i="26" s="1"/>
  <c r="I18" i="26"/>
  <c r="L24" i="22"/>
  <c r="K24" i="22"/>
  <c r="J24" i="22"/>
  <c r="M24" i="22"/>
  <c r="N24" i="22"/>
  <c r="H10" i="21"/>
  <c r="B7" i="36" l="1"/>
  <c r="D7" i="36" s="1"/>
  <c r="A8" i="36"/>
  <c r="B22" i="35"/>
  <c r="D22" i="35" s="1"/>
  <c r="A23" i="35"/>
  <c r="L3" i="27"/>
  <c r="I6" i="27" s="1"/>
  <c r="E7" i="27"/>
  <c r="E8" i="27" s="1"/>
  <c r="E9" i="27" s="1"/>
  <c r="E10" i="27" s="1"/>
  <c r="E11" i="27" s="1"/>
  <c r="E12" i="27" s="1"/>
  <c r="E13" i="27" s="1"/>
  <c r="E14" i="27" s="1"/>
  <c r="E15" i="27" s="1"/>
  <c r="E16" i="27" s="1"/>
  <c r="E17" i="27" s="1"/>
  <c r="E18" i="27" s="1"/>
  <c r="E19" i="27" s="1"/>
  <c r="E20" i="27" s="1"/>
  <c r="E21" i="27" s="1"/>
  <c r="E22" i="27" s="1"/>
  <c r="E23" i="27" s="1"/>
  <c r="E24" i="27" s="1"/>
  <c r="E25" i="27" s="1"/>
  <c r="F6" i="27"/>
  <c r="I19" i="26"/>
  <c r="J18" i="26"/>
  <c r="L18" i="26" s="1"/>
  <c r="J25" i="22"/>
  <c r="K25" i="22" s="1"/>
  <c r="B4" i="24"/>
  <c r="H11" i="21"/>
  <c r="A9" i="36" l="1"/>
  <c r="B8" i="36"/>
  <c r="D8" i="36" s="1"/>
  <c r="C7" i="29"/>
  <c r="C8" i="1"/>
  <c r="C7" i="1"/>
  <c r="A24" i="35"/>
  <c r="B23" i="35"/>
  <c r="D23" i="35" s="1"/>
  <c r="H6" i="27"/>
  <c r="F7" i="27"/>
  <c r="L25" i="22"/>
  <c r="M25" i="22" s="1"/>
  <c r="N25" i="22" s="1"/>
  <c r="J6" i="27"/>
  <c r="L6" i="27" s="1"/>
  <c r="I7" i="27"/>
  <c r="I20" i="26"/>
  <c r="J19" i="26"/>
  <c r="L19" i="26" s="1"/>
  <c r="B3" i="24"/>
  <c r="H12" i="21"/>
  <c r="A10" i="36" l="1"/>
  <c r="B9" i="36"/>
  <c r="D9" i="36" s="1"/>
  <c r="C6" i="29"/>
  <c r="B24" i="35"/>
  <c r="D24" i="35" s="1"/>
  <c r="A25" i="35"/>
  <c r="F8" i="27"/>
  <c r="H7" i="27"/>
  <c r="N6" i="27"/>
  <c r="I8" i="27"/>
  <c r="J7" i="27"/>
  <c r="L7" i="27" s="1"/>
  <c r="D32" i="29"/>
  <c r="D39" i="1"/>
  <c r="J20" i="26"/>
  <c r="L20" i="26" s="1"/>
  <c r="I21" i="26"/>
  <c r="H13" i="21"/>
  <c r="C7" i="2"/>
  <c r="A11" i="36" l="1"/>
  <c r="B10" i="36"/>
  <c r="D10" i="36" s="1"/>
  <c r="I24" i="11"/>
  <c r="A26" i="35"/>
  <c r="B26" i="35" s="1"/>
  <c r="D26" i="35" s="1"/>
  <c r="B25" i="35"/>
  <c r="D25" i="35" s="1"/>
  <c r="F38" i="29"/>
  <c r="F33" i="29"/>
  <c r="D33" i="29"/>
  <c r="F41" i="29"/>
  <c r="F37" i="29"/>
  <c r="F49" i="29"/>
  <c r="G32" i="29"/>
  <c r="F48" i="29"/>
  <c r="F44" i="29"/>
  <c r="F43" i="29"/>
  <c r="F51" i="29"/>
  <c r="F42" i="29"/>
  <c r="F34" i="29"/>
  <c r="F45" i="29"/>
  <c r="E32" i="29"/>
  <c r="H32" i="29" s="1"/>
  <c r="O32" i="29" s="1"/>
  <c r="F47" i="29"/>
  <c r="F40" i="29"/>
  <c r="F36" i="29"/>
  <c r="F50" i="29"/>
  <c r="F35" i="29"/>
  <c r="F32" i="29"/>
  <c r="F46" i="29"/>
  <c r="F39" i="29"/>
  <c r="H8" i="27"/>
  <c r="F9" i="27"/>
  <c r="F47" i="1"/>
  <c r="F49" i="1"/>
  <c r="F39" i="1"/>
  <c r="G39" i="1"/>
  <c r="F40" i="1"/>
  <c r="F56" i="1"/>
  <c r="F41" i="1"/>
  <c r="F58" i="1"/>
  <c r="F45" i="1"/>
  <c r="F48" i="1"/>
  <c r="F50" i="1"/>
  <c r="D40" i="1"/>
  <c r="F54" i="1"/>
  <c r="F51" i="1"/>
  <c r="F42" i="1"/>
  <c r="F43" i="1"/>
  <c r="F44" i="1"/>
  <c r="F46" i="1"/>
  <c r="F55" i="1"/>
  <c r="F53" i="1"/>
  <c r="F57" i="1"/>
  <c r="F52" i="1"/>
  <c r="E39" i="1"/>
  <c r="I9" i="27"/>
  <c r="J8" i="27"/>
  <c r="L8" i="27" s="1"/>
  <c r="J21" i="26"/>
  <c r="L21" i="26" s="1"/>
  <c r="I22" i="26"/>
  <c r="H14" i="21"/>
  <c r="A12" i="36" l="1"/>
  <c r="B11" i="36"/>
  <c r="D11" i="36" s="1"/>
  <c r="D27" i="35"/>
  <c r="C14" i="13" s="1"/>
  <c r="F10" i="27"/>
  <c r="H9" i="27"/>
  <c r="D41" i="1"/>
  <c r="E40" i="1"/>
  <c r="H40" i="1" s="1"/>
  <c r="G40" i="1"/>
  <c r="I10" i="27"/>
  <c r="J9" i="27"/>
  <c r="L9" i="27" s="1"/>
  <c r="G33" i="29"/>
  <c r="L33" i="29" s="1"/>
  <c r="S33" i="29" s="1"/>
  <c r="E33" i="29"/>
  <c r="H33" i="29" s="1"/>
  <c r="O33" i="29" s="1"/>
  <c r="D34" i="29"/>
  <c r="N32" i="29"/>
  <c r="U32" i="29" s="1"/>
  <c r="M32" i="29"/>
  <c r="T32" i="29" s="1"/>
  <c r="K32" i="29"/>
  <c r="R32" i="29" s="1"/>
  <c r="J32" i="29"/>
  <c r="Q32" i="29" s="1"/>
  <c r="I32" i="29"/>
  <c r="P32" i="29" s="1"/>
  <c r="L32" i="29"/>
  <c r="S32" i="29" s="1"/>
  <c r="I23" i="26"/>
  <c r="J22" i="26"/>
  <c r="L22" i="26" s="1"/>
  <c r="H15" i="21"/>
  <c r="A35" i="1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13" i="36" l="1"/>
  <c r="B12" i="36"/>
  <c r="D12" i="36" s="1"/>
  <c r="V32" i="29"/>
  <c r="W32" i="29" s="1"/>
  <c r="D35" i="29"/>
  <c r="G34" i="29"/>
  <c r="E34" i="29"/>
  <c r="H34" i="29" s="1"/>
  <c r="O34" i="29" s="1"/>
  <c r="N33" i="29"/>
  <c r="U33" i="29" s="1"/>
  <c r="J33" i="29"/>
  <c r="Q33" i="29" s="1"/>
  <c r="K33" i="29"/>
  <c r="R33" i="29" s="1"/>
  <c r="M33" i="29"/>
  <c r="T33" i="29" s="1"/>
  <c r="J10" i="27"/>
  <c r="L10" i="27" s="1"/>
  <c r="I11" i="27"/>
  <c r="H10" i="27"/>
  <c r="F11" i="27"/>
  <c r="D42" i="1"/>
  <c r="G41" i="1"/>
  <c r="E41" i="1"/>
  <c r="H41" i="1" s="1"/>
  <c r="I33" i="29"/>
  <c r="P33" i="29" s="1"/>
  <c r="J23" i="26"/>
  <c r="L23" i="26" s="1"/>
  <c r="I24" i="26"/>
  <c r="H16" i="21"/>
  <c r="C6" i="2"/>
  <c r="B13" i="36" l="1"/>
  <c r="D13" i="36" s="1"/>
  <c r="A14" i="36"/>
  <c r="V33" i="29"/>
  <c r="W33" i="29" s="1"/>
  <c r="J34" i="29"/>
  <c r="Q34" i="29" s="1"/>
  <c r="N34" i="29"/>
  <c r="U34" i="29" s="1"/>
  <c r="I34" i="29"/>
  <c r="P34" i="29" s="1"/>
  <c r="M34" i="29"/>
  <c r="T34" i="29" s="1"/>
  <c r="L34" i="29"/>
  <c r="S34" i="29" s="1"/>
  <c r="K34" i="29"/>
  <c r="R34" i="29" s="1"/>
  <c r="D36" i="29"/>
  <c r="E35" i="29"/>
  <c r="H35" i="29" s="1"/>
  <c r="O35" i="29" s="1"/>
  <c r="G35" i="29"/>
  <c r="J11" i="27"/>
  <c r="L11" i="27" s="1"/>
  <c r="I12" i="27"/>
  <c r="D43" i="1"/>
  <c r="E42" i="1"/>
  <c r="H42" i="1" s="1"/>
  <c r="G42" i="1"/>
  <c r="F12" i="27"/>
  <c r="H11" i="27"/>
  <c r="I25" i="26"/>
  <c r="J25" i="26" s="1"/>
  <c r="L25" i="26" s="1"/>
  <c r="J24" i="26"/>
  <c r="L24" i="26" s="1"/>
  <c r="H17" i="21"/>
  <c r="A15" i="36" l="1"/>
  <c r="B14" i="36"/>
  <c r="D14" i="36" s="1"/>
  <c r="V34" i="29"/>
  <c r="W34" i="29" s="1"/>
  <c r="I13" i="27"/>
  <c r="J12" i="27"/>
  <c r="L12" i="27" s="1"/>
  <c r="H12" i="27"/>
  <c r="F13" i="27"/>
  <c r="L35" i="29"/>
  <c r="S35" i="29" s="1"/>
  <c r="K35" i="29"/>
  <c r="R35" i="29" s="1"/>
  <c r="J35" i="29"/>
  <c r="Q35" i="29" s="1"/>
  <c r="N35" i="29"/>
  <c r="U35" i="29" s="1"/>
  <c r="I35" i="29"/>
  <c r="P35" i="29" s="1"/>
  <c r="M35" i="29"/>
  <c r="T35" i="29" s="1"/>
  <c r="E36" i="29"/>
  <c r="H36" i="29" s="1"/>
  <c r="O36" i="29" s="1"/>
  <c r="D37" i="29"/>
  <c r="G36" i="29"/>
  <c r="D44" i="1"/>
  <c r="G43" i="1"/>
  <c r="E43" i="1"/>
  <c r="H43" i="1" s="1"/>
  <c r="L26" i="26"/>
  <c r="H18" i="21"/>
  <c r="A16" i="36" l="1"/>
  <c r="B15" i="36"/>
  <c r="D15" i="36" s="1"/>
  <c r="V35" i="29"/>
  <c r="W35" i="29" s="1"/>
  <c r="D45" i="1"/>
  <c r="G44" i="1"/>
  <c r="E44" i="1"/>
  <c r="H44" i="1" s="1"/>
  <c r="J13" i="27"/>
  <c r="L13" i="27" s="1"/>
  <c r="I14" i="27"/>
  <c r="K36" i="29"/>
  <c r="R36" i="29" s="1"/>
  <c r="J36" i="29"/>
  <c r="Q36" i="29" s="1"/>
  <c r="L36" i="29"/>
  <c r="S36" i="29" s="1"/>
  <c r="I36" i="29"/>
  <c r="P36" i="29" s="1"/>
  <c r="N36" i="29"/>
  <c r="U36" i="29" s="1"/>
  <c r="M36" i="29"/>
  <c r="T36" i="29" s="1"/>
  <c r="H13" i="27"/>
  <c r="F14" i="27"/>
  <c r="E37" i="29"/>
  <c r="H37" i="29" s="1"/>
  <c r="O37" i="29" s="1"/>
  <c r="D38" i="29"/>
  <c r="G37" i="29"/>
  <c r="H19" i="21"/>
  <c r="B16" i="36" l="1"/>
  <c r="D16" i="36" s="1"/>
  <c r="A17" i="36"/>
  <c r="V36" i="29"/>
  <c r="W36" i="29" s="1"/>
  <c r="J14" i="27"/>
  <c r="L14" i="27" s="1"/>
  <c r="I15" i="27"/>
  <c r="N37" i="29"/>
  <c r="U37" i="29" s="1"/>
  <c r="L37" i="29"/>
  <c r="S37" i="29" s="1"/>
  <c r="M37" i="29"/>
  <c r="T37" i="29" s="1"/>
  <c r="J37" i="29"/>
  <c r="Q37" i="29" s="1"/>
  <c r="K37" i="29"/>
  <c r="R37" i="29" s="1"/>
  <c r="I37" i="29"/>
  <c r="P37" i="29" s="1"/>
  <c r="D39" i="29"/>
  <c r="E38" i="29"/>
  <c r="H38" i="29" s="1"/>
  <c r="O38" i="29" s="1"/>
  <c r="G38" i="29"/>
  <c r="D46" i="1"/>
  <c r="E45" i="1"/>
  <c r="H45" i="1" s="1"/>
  <c r="G45" i="1"/>
  <c r="F15" i="27"/>
  <c r="H14" i="27"/>
  <c r="H20" i="21"/>
  <c r="A18" i="36" l="1"/>
  <c r="B17" i="36"/>
  <c r="D17" i="36" s="1"/>
  <c r="V37" i="29"/>
  <c r="W37" i="29" s="1"/>
  <c r="J15" i="27"/>
  <c r="L15" i="27" s="1"/>
  <c r="I16" i="27"/>
  <c r="J38" i="29"/>
  <c r="Q38" i="29" s="1"/>
  <c r="N38" i="29"/>
  <c r="U38" i="29" s="1"/>
  <c r="I38" i="29"/>
  <c r="P38" i="29" s="1"/>
  <c r="K38" i="29"/>
  <c r="R38" i="29" s="1"/>
  <c r="M38" i="29"/>
  <c r="T38" i="29" s="1"/>
  <c r="L38" i="29"/>
  <c r="S38" i="29" s="1"/>
  <c r="D47" i="1"/>
  <c r="G46" i="1"/>
  <c r="E46" i="1"/>
  <c r="H46" i="1" s="1"/>
  <c r="D40" i="29"/>
  <c r="E39" i="29"/>
  <c r="H39" i="29" s="1"/>
  <c r="O39" i="29" s="1"/>
  <c r="G39" i="29"/>
  <c r="H15" i="27"/>
  <c r="F16" i="27"/>
  <c r="H21" i="21"/>
  <c r="B18" i="36" l="1"/>
  <c r="D18" i="36" s="1"/>
  <c r="A19" i="36"/>
  <c r="V38" i="29"/>
  <c r="W38" i="29" s="1"/>
  <c r="N39" i="29"/>
  <c r="U39" i="29" s="1"/>
  <c r="I39" i="29"/>
  <c r="P39" i="29" s="1"/>
  <c r="J39" i="29"/>
  <c r="Q39" i="29" s="1"/>
  <c r="M39" i="29"/>
  <c r="T39" i="29" s="1"/>
  <c r="L39" i="29"/>
  <c r="S39" i="29" s="1"/>
  <c r="K39" i="29"/>
  <c r="R39" i="29" s="1"/>
  <c r="E40" i="29"/>
  <c r="H40" i="29" s="1"/>
  <c r="O40" i="29" s="1"/>
  <c r="D41" i="29"/>
  <c r="G40" i="29"/>
  <c r="D48" i="1"/>
  <c r="G47" i="1"/>
  <c r="E47" i="1"/>
  <c r="H47" i="1" s="1"/>
  <c r="J16" i="27"/>
  <c r="L16" i="27" s="1"/>
  <c r="I17" i="27"/>
  <c r="H16" i="27"/>
  <c r="F17" i="27"/>
  <c r="H22" i="21"/>
  <c r="A20" i="36" l="1"/>
  <c r="B19" i="36"/>
  <c r="D19" i="36" s="1"/>
  <c r="V39" i="29"/>
  <c r="W39" i="29" s="1"/>
  <c r="D49" i="1"/>
  <c r="E48" i="1"/>
  <c r="H48" i="1" s="1"/>
  <c r="G48" i="1"/>
  <c r="I40" i="29"/>
  <c r="P40" i="29" s="1"/>
  <c r="K40" i="29"/>
  <c r="R40" i="29" s="1"/>
  <c r="J40" i="29"/>
  <c r="Q40" i="29" s="1"/>
  <c r="M40" i="29"/>
  <c r="T40" i="29" s="1"/>
  <c r="L40" i="29"/>
  <c r="S40" i="29" s="1"/>
  <c r="N40" i="29"/>
  <c r="U40" i="29" s="1"/>
  <c r="E41" i="29"/>
  <c r="H41" i="29" s="1"/>
  <c r="O41" i="29" s="1"/>
  <c r="D42" i="29"/>
  <c r="G41" i="29"/>
  <c r="F18" i="27"/>
  <c r="H17" i="27"/>
  <c r="J17" i="27"/>
  <c r="L17" i="27" s="1"/>
  <c r="I18" i="27"/>
  <c r="H23" i="21"/>
  <c r="A21" i="36" l="1"/>
  <c r="B20" i="36"/>
  <c r="D20" i="36" s="1"/>
  <c r="V40" i="29"/>
  <c r="W40" i="29" s="1"/>
  <c r="F19" i="27"/>
  <c r="H18" i="27"/>
  <c r="K41" i="29"/>
  <c r="R41" i="29" s="1"/>
  <c r="L41" i="29"/>
  <c r="S41" i="29" s="1"/>
  <c r="M41" i="29"/>
  <c r="T41" i="29" s="1"/>
  <c r="J41" i="29"/>
  <c r="Q41" i="29" s="1"/>
  <c r="I41" i="29"/>
  <c r="P41" i="29" s="1"/>
  <c r="N41" i="29"/>
  <c r="U41" i="29" s="1"/>
  <c r="D43" i="29"/>
  <c r="G42" i="29"/>
  <c r="E42" i="29"/>
  <c r="H42" i="29" s="1"/>
  <c r="O42" i="29" s="1"/>
  <c r="J18" i="27"/>
  <c r="L18" i="27" s="1"/>
  <c r="I19" i="27"/>
  <c r="D50" i="1"/>
  <c r="G49" i="1"/>
  <c r="E49" i="1"/>
  <c r="H49" i="1" s="1"/>
  <c r="H24" i="21"/>
  <c r="B21" i="36" l="1"/>
  <c r="D21" i="36" s="1"/>
  <c r="A22" i="36"/>
  <c r="V41" i="29"/>
  <c r="W41" i="29" s="1"/>
  <c r="M42" i="29"/>
  <c r="T42" i="29" s="1"/>
  <c r="I42" i="29"/>
  <c r="P42" i="29" s="1"/>
  <c r="N42" i="29"/>
  <c r="U42" i="29" s="1"/>
  <c r="L42" i="29"/>
  <c r="S42" i="29" s="1"/>
  <c r="J42" i="29"/>
  <c r="Q42" i="29" s="1"/>
  <c r="K42" i="29"/>
  <c r="R42" i="29" s="1"/>
  <c r="I20" i="27"/>
  <c r="J19" i="27"/>
  <c r="L19" i="27" s="1"/>
  <c r="D44" i="29"/>
  <c r="E43" i="29"/>
  <c r="H43" i="29" s="1"/>
  <c r="O43" i="29" s="1"/>
  <c r="G43" i="29"/>
  <c r="F20" i="27"/>
  <c r="H19" i="27"/>
  <c r="D51" i="1"/>
  <c r="G50" i="1"/>
  <c r="E50" i="1"/>
  <c r="H50" i="1" s="1"/>
  <c r="H25" i="21"/>
  <c r="V42" i="29" l="1"/>
  <c r="W42" i="29" s="1"/>
  <c r="A23" i="36"/>
  <c r="B22" i="36"/>
  <c r="D22" i="36" s="1"/>
  <c r="D52" i="1"/>
  <c r="G51" i="1"/>
  <c r="E51" i="1"/>
  <c r="H51" i="1" s="1"/>
  <c r="F21" i="27"/>
  <c r="H20" i="27"/>
  <c r="J20" i="27"/>
  <c r="L20" i="27" s="1"/>
  <c r="I21" i="27"/>
  <c r="N43" i="29"/>
  <c r="U43" i="29" s="1"/>
  <c r="M43" i="29"/>
  <c r="T43" i="29" s="1"/>
  <c r="L43" i="29"/>
  <c r="S43" i="29" s="1"/>
  <c r="K43" i="29"/>
  <c r="R43" i="29" s="1"/>
  <c r="J43" i="29"/>
  <c r="Q43" i="29" s="1"/>
  <c r="I43" i="29"/>
  <c r="P43" i="29" s="1"/>
  <c r="E44" i="29"/>
  <c r="H44" i="29" s="1"/>
  <c r="O44" i="29" s="1"/>
  <c r="D45" i="29"/>
  <c r="G44" i="29"/>
  <c r="H26" i="21"/>
  <c r="A24" i="36" l="1"/>
  <c r="B23" i="36"/>
  <c r="D23" i="36" s="1"/>
  <c r="V43" i="29"/>
  <c r="W43" i="29" s="1"/>
  <c r="D46" i="29"/>
  <c r="E45" i="29"/>
  <c r="H45" i="29" s="1"/>
  <c r="O45" i="29" s="1"/>
  <c r="G45" i="29"/>
  <c r="F22" i="27"/>
  <c r="H21" i="27"/>
  <c r="J21" i="27"/>
  <c r="L21" i="27" s="1"/>
  <c r="I22" i="27"/>
  <c r="I44" i="29"/>
  <c r="P44" i="29" s="1"/>
  <c r="N44" i="29"/>
  <c r="U44" i="29" s="1"/>
  <c r="M44" i="29"/>
  <c r="T44" i="29" s="1"/>
  <c r="J44" i="29"/>
  <c r="Q44" i="29" s="1"/>
  <c r="K44" i="29"/>
  <c r="R44" i="29" s="1"/>
  <c r="L44" i="29"/>
  <c r="S44" i="29" s="1"/>
  <c r="D53" i="1"/>
  <c r="E52" i="1"/>
  <c r="H52" i="1" s="1"/>
  <c r="G52" i="1"/>
  <c r="H27" i="21"/>
  <c r="A25" i="36" l="1"/>
  <c r="B24" i="36"/>
  <c r="D24" i="36" s="1"/>
  <c r="V44" i="29"/>
  <c r="W44" i="29" s="1"/>
  <c r="H22" i="27"/>
  <c r="F23" i="27"/>
  <c r="J22" i="27"/>
  <c r="L22" i="27" s="1"/>
  <c r="I23" i="27"/>
  <c r="J45" i="29"/>
  <c r="Q45" i="29" s="1"/>
  <c r="L45" i="29"/>
  <c r="S45" i="29" s="1"/>
  <c r="I45" i="29"/>
  <c r="P45" i="29" s="1"/>
  <c r="M45" i="29"/>
  <c r="T45" i="29" s="1"/>
  <c r="N45" i="29"/>
  <c r="U45" i="29" s="1"/>
  <c r="K45" i="29"/>
  <c r="R45" i="29" s="1"/>
  <c r="D54" i="1"/>
  <c r="E53" i="1"/>
  <c r="H53" i="1" s="1"/>
  <c r="G53" i="1"/>
  <c r="D47" i="29"/>
  <c r="G46" i="29"/>
  <c r="E46" i="29"/>
  <c r="H46" i="29" s="1"/>
  <c r="O46" i="29" s="1"/>
  <c r="H28" i="21"/>
  <c r="H39" i="1"/>
  <c r="O39" i="1" s="1"/>
  <c r="C5" i="2"/>
  <c r="C4" i="2" s="1"/>
  <c r="C3" i="2" s="1"/>
  <c r="A26" i="36" l="1"/>
  <c r="B26" i="36" s="1"/>
  <c r="D26" i="36" s="1"/>
  <c r="B25" i="36"/>
  <c r="D25" i="36" s="1"/>
  <c r="V45" i="29"/>
  <c r="W45" i="29" s="1"/>
  <c r="D55" i="1"/>
  <c r="G54" i="1"/>
  <c r="E54" i="1"/>
  <c r="H54" i="1" s="1"/>
  <c r="J23" i="27"/>
  <c r="L23" i="27" s="1"/>
  <c r="I24" i="27"/>
  <c r="F24" i="27"/>
  <c r="H23" i="27"/>
  <c r="K46" i="29"/>
  <c r="R46" i="29" s="1"/>
  <c r="M46" i="29"/>
  <c r="T46" i="29" s="1"/>
  <c r="J46" i="29"/>
  <c r="Q46" i="29" s="1"/>
  <c r="I46" i="29"/>
  <c r="P46" i="29" s="1"/>
  <c r="L46" i="29"/>
  <c r="S46" i="29" s="1"/>
  <c r="N46" i="29"/>
  <c r="U46" i="29" s="1"/>
  <c r="D48" i="29"/>
  <c r="G47" i="29"/>
  <c r="E47" i="29"/>
  <c r="H47" i="29" s="1"/>
  <c r="O47" i="29" s="1"/>
  <c r="J29" i="21"/>
  <c r="L39" i="1"/>
  <c r="S39" i="1" s="1"/>
  <c r="J39" i="1"/>
  <c r="Q39" i="1" s="1"/>
  <c r="I39" i="1"/>
  <c r="P39" i="1" s="1"/>
  <c r="N39" i="1"/>
  <c r="U39" i="1" s="1"/>
  <c r="K39" i="1"/>
  <c r="R39" i="1" s="1"/>
  <c r="M39" i="1"/>
  <c r="T39" i="1" s="1"/>
  <c r="O40" i="1"/>
  <c r="D27" i="36" l="1"/>
  <c r="C10" i="13" s="1"/>
  <c r="V46" i="29"/>
  <c r="W46" i="29" s="1"/>
  <c r="F25" i="27"/>
  <c r="H25" i="27" s="1"/>
  <c r="H24" i="27"/>
  <c r="I25" i="27"/>
  <c r="J25" i="27" s="1"/>
  <c r="L25" i="27" s="1"/>
  <c r="J24" i="27"/>
  <c r="L24" i="27" s="1"/>
  <c r="J47" i="29"/>
  <c r="Q47" i="29" s="1"/>
  <c r="M47" i="29"/>
  <c r="T47" i="29" s="1"/>
  <c r="K47" i="29"/>
  <c r="R47" i="29" s="1"/>
  <c r="I47" i="29"/>
  <c r="P47" i="29" s="1"/>
  <c r="N47" i="29"/>
  <c r="U47" i="29" s="1"/>
  <c r="L47" i="29"/>
  <c r="S47" i="29" s="1"/>
  <c r="D49" i="29"/>
  <c r="E48" i="29"/>
  <c r="H48" i="29" s="1"/>
  <c r="O48" i="29" s="1"/>
  <c r="G48" i="29"/>
  <c r="D56" i="1"/>
  <c r="G55" i="1"/>
  <c r="E55" i="1"/>
  <c r="H55" i="1" s="1"/>
  <c r="V39" i="1"/>
  <c r="W39" i="1" s="1"/>
  <c r="L40" i="1"/>
  <c r="S40" i="1" s="1"/>
  <c r="N40" i="1"/>
  <c r="U40" i="1" s="1"/>
  <c r="I40" i="1"/>
  <c r="P40" i="1" s="1"/>
  <c r="M40" i="1"/>
  <c r="T40" i="1" s="1"/>
  <c r="K40" i="1"/>
  <c r="R40" i="1" s="1"/>
  <c r="J40" i="1"/>
  <c r="Q40" i="1" s="1"/>
  <c r="C26" i="2"/>
  <c r="C27" i="2" s="1"/>
  <c r="V47" i="29" l="1"/>
  <c r="W47" i="29" s="1"/>
  <c r="J48" i="29"/>
  <c r="Q48" i="29" s="1"/>
  <c r="I48" i="29"/>
  <c r="P48" i="29" s="1"/>
  <c r="N48" i="29"/>
  <c r="U48" i="29" s="1"/>
  <c r="K48" i="29"/>
  <c r="R48" i="29" s="1"/>
  <c r="M48" i="29"/>
  <c r="T48" i="29" s="1"/>
  <c r="L48" i="29"/>
  <c r="S48" i="29" s="1"/>
  <c r="G49" i="29"/>
  <c r="D50" i="29"/>
  <c r="E49" i="29"/>
  <c r="H49" i="29" s="1"/>
  <c r="O49" i="29" s="1"/>
  <c r="L26" i="27"/>
  <c r="H26" i="27"/>
  <c r="D57" i="1"/>
  <c r="E56" i="1"/>
  <c r="H56" i="1" s="1"/>
  <c r="G56" i="1"/>
  <c r="O41" i="1"/>
  <c r="I41" i="1"/>
  <c r="P41" i="1" s="1"/>
  <c r="V40" i="1"/>
  <c r="W40" i="1" s="1"/>
  <c r="O42" i="1"/>
  <c r="V48" i="29" l="1"/>
  <c r="W48" i="29" s="1"/>
  <c r="D58" i="1"/>
  <c r="E57" i="1"/>
  <c r="H57" i="1" s="1"/>
  <c r="G57" i="1"/>
  <c r="N26" i="27"/>
  <c r="C9" i="13" s="1"/>
  <c r="C11" i="13" s="1"/>
  <c r="E50" i="29"/>
  <c r="H50" i="29" s="1"/>
  <c r="O50" i="29" s="1"/>
  <c r="D51" i="29"/>
  <c r="G50" i="29"/>
  <c r="K49" i="29"/>
  <c r="R49" i="29" s="1"/>
  <c r="L49" i="29"/>
  <c r="S49" i="29" s="1"/>
  <c r="N49" i="29"/>
  <c r="U49" i="29" s="1"/>
  <c r="I49" i="29"/>
  <c r="P49" i="29" s="1"/>
  <c r="J49" i="29"/>
  <c r="Q49" i="29" s="1"/>
  <c r="M49" i="29"/>
  <c r="T49" i="29" s="1"/>
  <c r="L41" i="1"/>
  <c r="S41" i="1" s="1"/>
  <c r="J41" i="1"/>
  <c r="Q41" i="1" s="1"/>
  <c r="N41" i="1"/>
  <c r="U41" i="1" s="1"/>
  <c r="M41" i="1"/>
  <c r="T41" i="1" s="1"/>
  <c r="K41" i="1"/>
  <c r="R41" i="1" s="1"/>
  <c r="O43" i="1"/>
  <c r="L42" i="1"/>
  <c r="S42" i="1" s="1"/>
  <c r="M42" i="1"/>
  <c r="T42" i="1" s="1"/>
  <c r="J42" i="1"/>
  <c r="Q42" i="1" s="1"/>
  <c r="I42" i="1"/>
  <c r="P42" i="1" s="1"/>
  <c r="K42" i="1"/>
  <c r="R42" i="1" s="1"/>
  <c r="N42" i="1"/>
  <c r="U42" i="1" s="1"/>
  <c r="V49" i="29" l="1"/>
  <c r="W49" i="29" s="1"/>
  <c r="L50" i="29"/>
  <c r="S50" i="29" s="1"/>
  <c r="M50" i="29"/>
  <c r="T50" i="29" s="1"/>
  <c r="K50" i="29"/>
  <c r="R50" i="29" s="1"/>
  <c r="J50" i="29"/>
  <c r="Q50" i="29" s="1"/>
  <c r="I50" i="29"/>
  <c r="P50" i="29" s="1"/>
  <c r="N50" i="29"/>
  <c r="U50" i="29" s="1"/>
  <c r="E51" i="29"/>
  <c r="H51" i="29" s="1"/>
  <c r="O51" i="29" s="1"/>
  <c r="G51" i="29"/>
  <c r="G58" i="1"/>
  <c r="E58" i="1"/>
  <c r="H58" i="1" s="1"/>
  <c r="V41" i="1"/>
  <c r="W41" i="1" s="1"/>
  <c r="V42" i="1"/>
  <c r="W42" i="1" s="1"/>
  <c r="L43" i="1"/>
  <c r="S43" i="1" s="1"/>
  <c r="M43" i="1"/>
  <c r="T43" i="1" s="1"/>
  <c r="I43" i="1"/>
  <c r="P43" i="1" s="1"/>
  <c r="N43" i="1"/>
  <c r="U43" i="1" s="1"/>
  <c r="K43" i="1"/>
  <c r="R43" i="1" s="1"/>
  <c r="J43" i="1"/>
  <c r="Q43" i="1" s="1"/>
  <c r="O44" i="1"/>
  <c r="J32" i="11" l="1"/>
  <c r="K32" i="11"/>
  <c r="V50" i="29"/>
  <c r="W50" i="29" s="1"/>
  <c r="M51" i="29"/>
  <c r="T51" i="29" s="1"/>
  <c r="L51" i="29"/>
  <c r="S51" i="29" s="1"/>
  <c r="K51" i="29"/>
  <c r="R51" i="29" s="1"/>
  <c r="J51" i="29"/>
  <c r="Q51" i="29" s="1"/>
  <c r="I51" i="29"/>
  <c r="P51" i="29" s="1"/>
  <c r="N51" i="29"/>
  <c r="U51" i="29" s="1"/>
  <c r="V43" i="1"/>
  <c r="W43" i="1" s="1"/>
  <c r="K44" i="1"/>
  <c r="R44" i="1" s="1"/>
  <c r="M44" i="1"/>
  <c r="T44" i="1" s="1"/>
  <c r="N44" i="1"/>
  <c r="U44" i="1" s="1"/>
  <c r="L44" i="1"/>
  <c r="S44" i="1" s="1"/>
  <c r="J44" i="1"/>
  <c r="Q44" i="1" s="1"/>
  <c r="I44" i="1"/>
  <c r="P44" i="1" s="1"/>
  <c r="O45" i="1"/>
  <c r="I32" i="11" l="1"/>
  <c r="V51" i="29"/>
  <c r="W51" i="29" s="1"/>
  <c r="W53" i="29" s="1"/>
  <c r="V44" i="1"/>
  <c r="W44" i="1" s="1"/>
  <c r="L45" i="1"/>
  <c r="S45" i="1" s="1"/>
  <c r="I45" i="1"/>
  <c r="P45" i="1" s="1"/>
  <c r="M45" i="1"/>
  <c r="T45" i="1" s="1"/>
  <c r="N45" i="1"/>
  <c r="U45" i="1" s="1"/>
  <c r="J45" i="1"/>
  <c r="Q45" i="1" s="1"/>
  <c r="K45" i="1"/>
  <c r="R45" i="1" s="1"/>
  <c r="O46" i="1"/>
  <c r="V53" i="29" l="1"/>
  <c r="O47" i="1"/>
  <c r="V45" i="1"/>
  <c r="W45" i="1" s="1"/>
  <c r="K46" i="1"/>
  <c r="R46" i="1" s="1"/>
  <c r="I46" i="1"/>
  <c r="P46" i="1" s="1"/>
  <c r="J46" i="1"/>
  <c r="Q46" i="1" s="1"/>
  <c r="L46" i="1"/>
  <c r="S46" i="1" s="1"/>
  <c r="N46" i="1"/>
  <c r="U46" i="1" s="1"/>
  <c r="M46" i="1"/>
  <c r="T46" i="1" s="1"/>
  <c r="J47" i="1" l="1"/>
  <c r="Q47" i="1" s="1"/>
  <c r="V46" i="1"/>
  <c r="W46" i="1" s="1"/>
  <c r="K47" i="1" l="1"/>
  <c r="R47" i="1" s="1"/>
  <c r="M47" i="1"/>
  <c r="T47" i="1" s="1"/>
  <c r="N47" i="1"/>
  <c r="U47" i="1" s="1"/>
  <c r="L47" i="1"/>
  <c r="S47" i="1" s="1"/>
  <c r="I47" i="1"/>
  <c r="P47" i="1" s="1"/>
  <c r="O48" i="1"/>
  <c r="I48" i="1"/>
  <c r="P48" i="1" s="1"/>
  <c r="O49" i="1"/>
  <c r="N48" i="1" l="1"/>
  <c r="U48" i="1" s="1"/>
  <c r="J48" i="1"/>
  <c r="Q48" i="1" s="1"/>
  <c r="V47" i="1"/>
  <c r="W47" i="1" s="1"/>
  <c r="K48" i="1"/>
  <c r="R48" i="1" s="1"/>
  <c r="M48" i="1"/>
  <c r="T48" i="1" s="1"/>
  <c r="L48" i="1"/>
  <c r="S48" i="1" s="1"/>
  <c r="J49" i="1"/>
  <c r="Q49" i="1" s="1"/>
  <c r="N49" i="1"/>
  <c r="U49" i="1" s="1"/>
  <c r="K49" i="1"/>
  <c r="R49" i="1" s="1"/>
  <c r="L49" i="1"/>
  <c r="S49" i="1" s="1"/>
  <c r="I49" i="1"/>
  <c r="P49" i="1" s="1"/>
  <c r="M49" i="1"/>
  <c r="T49" i="1" s="1"/>
  <c r="O50" i="1" l="1"/>
  <c r="K50" i="1"/>
  <c r="R50" i="1" s="1"/>
  <c r="V48" i="1"/>
  <c r="W48" i="1" s="1"/>
  <c r="V49" i="1"/>
  <c r="W49" i="1" s="1"/>
  <c r="O51" i="1"/>
  <c r="M50" i="1" l="1"/>
  <c r="T50" i="1" s="1"/>
  <c r="N50" i="1"/>
  <c r="U50" i="1" s="1"/>
  <c r="I50" i="1"/>
  <c r="P50" i="1" s="1"/>
  <c r="L50" i="1"/>
  <c r="S50" i="1" s="1"/>
  <c r="J50" i="1"/>
  <c r="Q50" i="1" s="1"/>
  <c r="L51" i="1"/>
  <c r="S51" i="1" s="1"/>
  <c r="K51" i="1"/>
  <c r="R51" i="1" s="1"/>
  <c r="I51" i="1"/>
  <c r="P51" i="1" s="1"/>
  <c r="M51" i="1"/>
  <c r="T51" i="1" s="1"/>
  <c r="J51" i="1"/>
  <c r="Q51" i="1" s="1"/>
  <c r="N51" i="1"/>
  <c r="U51" i="1" s="1"/>
  <c r="O52" i="1"/>
  <c r="V50" i="1" l="1"/>
  <c r="W50" i="1" s="1"/>
  <c r="V51" i="1"/>
  <c r="W51" i="1" s="1"/>
  <c r="O53" i="1"/>
  <c r="N52" i="1"/>
  <c r="U52" i="1" s="1"/>
  <c r="M52" i="1"/>
  <c r="T52" i="1" s="1"/>
  <c r="J52" i="1"/>
  <c r="Q52" i="1" s="1"/>
  <c r="K52" i="1"/>
  <c r="R52" i="1" s="1"/>
  <c r="I52" i="1"/>
  <c r="P52" i="1" s="1"/>
  <c r="L52" i="1"/>
  <c r="S52" i="1" s="1"/>
  <c r="V52" i="1" l="1"/>
  <c r="W52" i="1" s="1"/>
  <c r="O54" i="1"/>
  <c r="K53" i="1"/>
  <c r="R53" i="1" s="1"/>
  <c r="J53" i="1"/>
  <c r="Q53" i="1" s="1"/>
  <c r="M53" i="1"/>
  <c r="T53" i="1" s="1"/>
  <c r="L53" i="1"/>
  <c r="S53" i="1" s="1"/>
  <c r="I53" i="1"/>
  <c r="P53" i="1" s="1"/>
  <c r="N53" i="1"/>
  <c r="U53" i="1" s="1"/>
  <c r="V53" i="1" l="1"/>
  <c r="W53" i="1" s="1"/>
  <c r="O55" i="1"/>
  <c r="L54" i="1"/>
  <c r="S54" i="1" s="1"/>
  <c r="I54" i="1"/>
  <c r="P54" i="1" s="1"/>
  <c r="J54" i="1"/>
  <c r="Q54" i="1" s="1"/>
  <c r="N54" i="1"/>
  <c r="U54" i="1" s="1"/>
  <c r="M54" i="1"/>
  <c r="T54" i="1" s="1"/>
  <c r="K54" i="1"/>
  <c r="R54" i="1" s="1"/>
  <c r="V54" i="1" l="1"/>
  <c r="W54" i="1" s="1"/>
  <c r="M55" i="1"/>
  <c r="T55" i="1" s="1"/>
  <c r="L55" i="1"/>
  <c r="S55" i="1" s="1"/>
  <c r="K55" i="1"/>
  <c r="R55" i="1" s="1"/>
  <c r="J55" i="1"/>
  <c r="Q55" i="1" s="1"/>
  <c r="I55" i="1"/>
  <c r="P55" i="1" s="1"/>
  <c r="N55" i="1"/>
  <c r="U55" i="1" s="1"/>
  <c r="O56" i="1" l="1"/>
  <c r="V55" i="1"/>
  <c r="W55" i="1" s="1"/>
  <c r="L56" i="1"/>
  <c r="S56" i="1" s="1"/>
  <c r="M56" i="1"/>
  <c r="T56" i="1" s="1"/>
  <c r="K56" i="1"/>
  <c r="R56" i="1" s="1"/>
  <c r="J56" i="1"/>
  <c r="Q56" i="1" s="1"/>
  <c r="N56" i="1"/>
  <c r="U56" i="1" s="1"/>
  <c r="I56" i="1"/>
  <c r="P56" i="1" s="1"/>
  <c r="O58" i="1" l="1"/>
  <c r="O57" i="1"/>
  <c r="K57" i="1"/>
  <c r="R57" i="1" s="1"/>
  <c r="V56" i="1"/>
  <c r="W56" i="1" s="1"/>
  <c r="M57" i="1" l="1"/>
  <c r="T57" i="1" s="1"/>
  <c r="N57" i="1"/>
  <c r="U57" i="1" s="1"/>
  <c r="I57" i="1"/>
  <c r="P57" i="1" s="1"/>
  <c r="L57" i="1"/>
  <c r="S57" i="1" s="1"/>
  <c r="J57" i="1"/>
  <c r="Q57" i="1" s="1"/>
  <c r="I58" i="1"/>
  <c r="P58" i="1" s="1"/>
  <c r="N58" i="1"/>
  <c r="U58" i="1" s="1"/>
  <c r="L58" i="1"/>
  <c r="S58" i="1" s="1"/>
  <c r="M58" i="1"/>
  <c r="T58" i="1" s="1"/>
  <c r="K58" i="1"/>
  <c r="R58" i="1" s="1"/>
  <c r="J58" i="1"/>
  <c r="Q58" i="1" s="1"/>
  <c r="V57" i="1" l="1"/>
  <c r="W57" i="1" s="1"/>
  <c r="V58" i="1"/>
  <c r="W58" i="1" l="1"/>
  <c r="W60" i="1" s="1"/>
  <c r="W54" i="29" s="1"/>
  <c r="V60" i="1"/>
  <c r="V56" i="29" l="1"/>
  <c r="V54" i="29"/>
  <c r="W56" i="29"/>
  <c r="C23" i="13" s="1"/>
  <c r="C24" i="13" s="1"/>
  <c r="K10" i="24" l="1"/>
  <c r="B10" i="24" l="1"/>
  <c r="K16" i="24"/>
  <c r="L16" i="24"/>
  <c r="E24" i="22" l="1"/>
  <c r="D92" i="22" s="1"/>
  <c r="E92" i="22" s="1"/>
  <c r="E36" i="22"/>
  <c r="C26" i="22" l="1"/>
  <c r="C21" i="22" s="1"/>
  <c r="C24" i="22" l="1"/>
  <c r="C20" i="22"/>
  <c r="D93" i="22" s="1"/>
  <c r="E93" i="22" s="1"/>
  <c r="E3" i="28" s="1"/>
  <c r="E6" i="28" s="1"/>
  <c r="C22" i="22"/>
  <c r="C23" i="22"/>
  <c r="E7" i="28"/>
  <c r="E8" i="28" s="1"/>
  <c r="E9" i="28" s="1"/>
  <c r="E10" i="28" s="1"/>
  <c r="E11" i="28" s="1"/>
  <c r="E12" i="28" s="1"/>
  <c r="E13" i="28" s="1"/>
  <c r="E14" i="28" s="1"/>
  <c r="E15" i="28" s="1"/>
  <c r="E16" i="28" s="1"/>
  <c r="E17" i="28" s="1"/>
  <c r="E18" i="28" s="1"/>
  <c r="E19" i="28" s="1"/>
  <c r="E20" i="28" s="1"/>
  <c r="E21" i="28" s="1"/>
  <c r="E22" i="28" s="1"/>
  <c r="E23" i="28" s="1"/>
  <c r="E24" i="28" s="1"/>
  <c r="E25" i="28" s="1"/>
  <c r="F6" i="28"/>
  <c r="F7" i="28" s="1"/>
  <c r="K22" i="22"/>
  <c r="N22" i="22"/>
  <c r="J22" i="22"/>
  <c r="L22" i="22"/>
  <c r="M22" i="22"/>
  <c r="H6" i="28" l="1"/>
  <c r="H7" i="28"/>
  <c r="F8" i="28"/>
  <c r="C25" i="22"/>
  <c r="E55" i="22" s="1"/>
  <c r="D26" i="22"/>
  <c r="D24" i="22" s="1"/>
  <c r="D35" i="22"/>
  <c r="E98" i="22" s="1"/>
  <c r="E35" i="22"/>
  <c r="D98" i="22" l="1"/>
  <c r="D4" i="30"/>
  <c r="A7" i="30" s="1"/>
  <c r="H8" i="28"/>
  <c r="F9" i="28"/>
  <c r="D20" i="22"/>
  <c r="D100" i="22" s="1"/>
  <c r="E100" i="22" s="1"/>
  <c r="L3" i="28" s="1"/>
  <c r="I6" i="28" s="1"/>
  <c r="E4" i="21"/>
  <c r="E9" i="21" s="1"/>
  <c r="G9" i="21" s="1"/>
  <c r="L9" i="21" s="1"/>
  <c r="E3" i="20"/>
  <c r="E6" i="20" s="1"/>
  <c r="B67" i="22"/>
  <c r="B68" i="22"/>
  <c r="B66" i="22"/>
  <c r="E54" i="22"/>
  <c r="D21" i="22"/>
  <c r="K23" i="22" s="1"/>
  <c r="D23" i="22"/>
  <c r="D22" i="22"/>
  <c r="N23" i="22"/>
  <c r="B7" i="30" l="1"/>
  <c r="D7" i="30" s="1"/>
  <c r="A8" i="30"/>
  <c r="J6" i="28"/>
  <c r="L6" i="28" s="1"/>
  <c r="N6" i="28" s="1"/>
  <c r="I7" i="28"/>
  <c r="J7" i="28" s="1"/>
  <c r="L7" i="28" s="1"/>
  <c r="J23" i="22"/>
  <c r="F10" i="28"/>
  <c r="H9" i="28"/>
  <c r="B8" i="30"/>
  <c r="D8" i="30" s="1"/>
  <c r="A9" i="30"/>
  <c r="E10" i="21"/>
  <c r="G10" i="21" s="1"/>
  <c r="L23" i="22"/>
  <c r="E7" i="20"/>
  <c r="E8" i="20" s="1"/>
  <c r="E9" i="20" s="1"/>
  <c r="E10" i="20" s="1"/>
  <c r="E11" i="20" s="1"/>
  <c r="E12" i="20" s="1"/>
  <c r="E13" i="20" s="1"/>
  <c r="E14" i="20" s="1"/>
  <c r="E15" i="20" s="1"/>
  <c r="E16" i="20" s="1"/>
  <c r="E17" i="20" s="1"/>
  <c r="E18" i="20" s="1"/>
  <c r="E19" i="20" s="1"/>
  <c r="E20" i="20" s="1"/>
  <c r="E21" i="20" s="1"/>
  <c r="E22" i="20" s="1"/>
  <c r="E23" i="20" s="1"/>
  <c r="E24" i="20" s="1"/>
  <c r="E25" i="20" s="1"/>
  <c r="F6" i="20"/>
  <c r="M23" i="22"/>
  <c r="I8" i="28" l="1"/>
  <c r="I9" i="28" s="1"/>
  <c r="H10" i="28"/>
  <c r="F11" i="28"/>
  <c r="B9" i="30"/>
  <c r="D9" i="30" s="1"/>
  <c r="A10" i="30"/>
  <c r="E11" i="21"/>
  <c r="G11" i="21" s="1"/>
  <c r="D25" i="22"/>
  <c r="J4" i="21" s="1"/>
  <c r="F7" i="20"/>
  <c r="H6" i="20"/>
  <c r="J8" i="28" l="1"/>
  <c r="L8" i="28" s="1"/>
  <c r="F12" i="28"/>
  <c r="H11" i="28"/>
  <c r="J9" i="28"/>
  <c r="L9" i="28" s="1"/>
  <c r="I10" i="28"/>
  <c r="B10" i="30"/>
  <c r="D10" i="30" s="1"/>
  <c r="A11" i="30"/>
  <c r="E12" i="21"/>
  <c r="G12" i="21" s="1"/>
  <c r="E53" i="22"/>
  <c r="L3" i="20"/>
  <c r="I6" i="20" s="1"/>
  <c r="E52" i="22"/>
  <c r="F8" i="20"/>
  <c r="H7" i="20"/>
  <c r="B9" i="24"/>
  <c r="I11" i="28" l="1"/>
  <c r="J10" i="28"/>
  <c r="L10" i="28" s="1"/>
  <c r="H12" i="28"/>
  <c r="F13" i="28"/>
  <c r="B11" i="30"/>
  <c r="D11" i="30" s="1"/>
  <c r="A12" i="30"/>
  <c r="E13" i="21"/>
  <c r="G13" i="21" s="1"/>
  <c r="J6" i="20"/>
  <c r="L6" i="20" s="1"/>
  <c r="N6" i="20" s="1"/>
  <c r="I7" i="20"/>
  <c r="I8" i="20" s="1"/>
  <c r="F9" i="20"/>
  <c r="H8" i="20"/>
  <c r="F14" i="28" l="1"/>
  <c r="H13" i="28"/>
  <c r="I12" i="28"/>
  <c r="J11" i="28"/>
  <c r="L11" i="28" s="1"/>
  <c r="J7" i="20"/>
  <c r="L7" i="20" s="1"/>
  <c r="B12" i="30"/>
  <c r="D12" i="30" s="1"/>
  <c r="A13" i="30"/>
  <c r="E14" i="21"/>
  <c r="G14" i="21" s="1"/>
  <c r="F10" i="20"/>
  <c r="H9" i="20"/>
  <c r="I9" i="20"/>
  <c r="J8" i="20"/>
  <c r="L8" i="20" s="1"/>
  <c r="K31" i="11" l="1"/>
  <c r="K37" i="11" s="1"/>
  <c r="D68" i="11" s="1"/>
  <c r="J31" i="11"/>
  <c r="J12" i="28"/>
  <c r="L12" i="28" s="1"/>
  <c r="I13" i="28"/>
  <c r="H14" i="28"/>
  <c r="F15" i="28"/>
  <c r="B13" i="30"/>
  <c r="D13" i="30" s="1"/>
  <c r="A14" i="30"/>
  <c r="E15" i="21"/>
  <c r="G15" i="21" s="1"/>
  <c r="I10" i="20"/>
  <c r="J9" i="20"/>
  <c r="L9" i="20" s="1"/>
  <c r="F11" i="20"/>
  <c r="H10" i="20"/>
  <c r="I31" i="11" l="1"/>
  <c r="I37" i="11" s="1"/>
  <c r="D63" i="11" s="1"/>
  <c r="J37" i="11"/>
  <c r="D67" i="11" s="1"/>
  <c r="F16" i="28"/>
  <c r="H15" i="28"/>
  <c r="J13" i="28"/>
  <c r="L13" i="28" s="1"/>
  <c r="I14" i="28"/>
  <c r="B14" i="30"/>
  <c r="D14" i="30" s="1"/>
  <c r="A15" i="30"/>
  <c r="E16" i="21"/>
  <c r="G16" i="21" s="1"/>
  <c r="F12" i="20"/>
  <c r="H11" i="20"/>
  <c r="I11" i="20"/>
  <c r="J10" i="20"/>
  <c r="L10" i="20" s="1"/>
  <c r="B7" i="24"/>
  <c r="J14" i="28" l="1"/>
  <c r="L14" i="28" s="1"/>
  <c r="I15" i="28"/>
  <c r="H16" i="28"/>
  <c r="F17" i="28"/>
  <c r="B15" i="30"/>
  <c r="D15" i="30" s="1"/>
  <c r="A16" i="30"/>
  <c r="E17" i="21"/>
  <c r="G17" i="21" s="1"/>
  <c r="I12" i="20"/>
  <c r="J11" i="20"/>
  <c r="L11" i="20" s="1"/>
  <c r="F13" i="20"/>
  <c r="H12" i="20"/>
  <c r="F18" i="28" l="1"/>
  <c r="H17" i="28"/>
  <c r="I16" i="28"/>
  <c r="J15" i="28"/>
  <c r="L15" i="28" s="1"/>
  <c r="B16" i="30"/>
  <c r="D16" i="30" s="1"/>
  <c r="A17" i="30"/>
  <c r="E18" i="21"/>
  <c r="G18" i="21" s="1"/>
  <c r="F14" i="20"/>
  <c r="H13" i="20"/>
  <c r="I13" i="20"/>
  <c r="J12" i="20"/>
  <c r="L12" i="20" s="1"/>
  <c r="D26" i="11"/>
  <c r="E26" i="11" l="1"/>
  <c r="E37" i="11" s="1"/>
  <c r="I17" i="28"/>
  <c r="J16" i="28"/>
  <c r="L16" i="28" s="1"/>
  <c r="F19" i="28"/>
  <c r="H18" i="28"/>
  <c r="B17" i="30"/>
  <c r="D17" i="30" s="1"/>
  <c r="A18" i="30"/>
  <c r="E19" i="21"/>
  <c r="G19" i="21" s="1"/>
  <c r="I14" i="20"/>
  <c r="J13" i="20"/>
  <c r="L13" i="20" s="1"/>
  <c r="F15" i="20"/>
  <c r="H14" i="20"/>
  <c r="F26" i="11" l="1"/>
  <c r="F37" i="11" s="1"/>
  <c r="D66" i="11" s="1"/>
  <c r="F20" i="28"/>
  <c r="H19" i="28"/>
  <c r="J17" i="28"/>
  <c r="L17" i="28" s="1"/>
  <c r="I18" i="28"/>
  <c r="B18" i="30"/>
  <c r="D18" i="30" s="1"/>
  <c r="A19" i="30"/>
  <c r="E20" i="21"/>
  <c r="G20" i="21" s="1"/>
  <c r="F16" i="20"/>
  <c r="H15" i="20"/>
  <c r="I15" i="20"/>
  <c r="J14" i="20"/>
  <c r="L14" i="20" s="1"/>
  <c r="I19" i="28" l="1"/>
  <c r="J18" i="28"/>
  <c r="L18" i="28" s="1"/>
  <c r="F21" i="28"/>
  <c r="H20" i="28"/>
  <c r="B19" i="30"/>
  <c r="D19" i="30" s="1"/>
  <c r="A20" i="30"/>
  <c r="E21" i="21"/>
  <c r="G21" i="21" s="1"/>
  <c r="I16" i="20"/>
  <c r="J15" i="20"/>
  <c r="L15" i="20" s="1"/>
  <c r="F17" i="20"/>
  <c r="H16" i="20"/>
  <c r="F22" i="28" l="1"/>
  <c r="H21" i="28"/>
  <c r="J19" i="28"/>
  <c r="L19" i="28" s="1"/>
  <c r="I20" i="28"/>
  <c r="B20" i="30"/>
  <c r="D20" i="30" s="1"/>
  <c r="A21" i="30"/>
  <c r="E22" i="21"/>
  <c r="G22" i="21" s="1"/>
  <c r="F18" i="20"/>
  <c r="H17" i="20"/>
  <c r="J16" i="20"/>
  <c r="L16" i="20" s="1"/>
  <c r="I17" i="20"/>
  <c r="E23" i="21" l="1"/>
  <c r="G23" i="21" s="1"/>
  <c r="J20" i="28"/>
  <c r="L20" i="28" s="1"/>
  <c r="I21" i="28"/>
  <c r="F23" i="28"/>
  <c r="H22" i="28"/>
  <c r="B21" i="30"/>
  <c r="D21" i="30" s="1"/>
  <c r="A22" i="30"/>
  <c r="I18" i="20"/>
  <c r="J17" i="20"/>
  <c r="L17" i="20" s="1"/>
  <c r="F19" i="20"/>
  <c r="H18" i="20"/>
  <c r="E24" i="21" l="1"/>
  <c r="F24" i="28"/>
  <c r="H23" i="28"/>
  <c r="I22" i="28"/>
  <c r="J21" i="28"/>
  <c r="L21" i="28" s="1"/>
  <c r="B22" i="30"/>
  <c r="D22" i="30" s="1"/>
  <c r="A23" i="30"/>
  <c r="G24" i="21"/>
  <c r="E25" i="21"/>
  <c r="F20" i="20"/>
  <c r="H19" i="20"/>
  <c r="I19" i="20"/>
  <c r="J18" i="20"/>
  <c r="L18" i="20" s="1"/>
  <c r="I23" i="28" l="1"/>
  <c r="J22" i="28"/>
  <c r="L22" i="28" s="1"/>
  <c r="H24" i="28"/>
  <c r="F25" i="28"/>
  <c r="H25" i="28" s="1"/>
  <c r="H26" i="28" s="1"/>
  <c r="B23" i="30"/>
  <c r="D23" i="30" s="1"/>
  <c r="A24" i="30"/>
  <c r="G25" i="21"/>
  <c r="E26" i="21"/>
  <c r="I20" i="20"/>
  <c r="J19" i="20"/>
  <c r="L19" i="20" s="1"/>
  <c r="F21" i="20"/>
  <c r="H20" i="20"/>
  <c r="I24" i="28" l="1"/>
  <c r="J23" i="28"/>
  <c r="L23" i="28" s="1"/>
  <c r="B24" i="30"/>
  <c r="D24" i="30" s="1"/>
  <c r="A25" i="30"/>
  <c r="G26" i="21"/>
  <c r="E27" i="21"/>
  <c r="F22" i="20"/>
  <c r="H21" i="20"/>
  <c r="I21" i="20"/>
  <c r="J20" i="20"/>
  <c r="L20" i="20" s="1"/>
  <c r="I25" i="28" l="1"/>
  <c r="J25" i="28" s="1"/>
  <c r="L25" i="28" s="1"/>
  <c r="J24" i="28"/>
  <c r="L24" i="28" s="1"/>
  <c r="B25" i="30"/>
  <c r="D25" i="30" s="1"/>
  <c r="A26" i="30"/>
  <c r="B26" i="30" s="1"/>
  <c r="D26" i="30" s="1"/>
  <c r="G27" i="21"/>
  <c r="E28" i="21"/>
  <c r="G28" i="21" s="1"/>
  <c r="I22" i="20"/>
  <c r="J21" i="20"/>
  <c r="L21" i="20" s="1"/>
  <c r="F23" i="20"/>
  <c r="H22" i="20"/>
  <c r="L26" i="28" l="1"/>
  <c r="N26" i="28" s="1"/>
  <c r="C17" i="13" s="1"/>
  <c r="D27" i="30"/>
  <c r="C13" i="13" s="1"/>
  <c r="G29" i="21"/>
  <c r="F24" i="20"/>
  <c r="H23" i="20"/>
  <c r="I23" i="20"/>
  <c r="J22" i="20"/>
  <c r="L22" i="20" s="1"/>
  <c r="C20" i="13" l="1"/>
  <c r="C21" i="13" s="1"/>
  <c r="L29" i="21"/>
  <c r="I24" i="20"/>
  <c r="J23" i="20"/>
  <c r="L23" i="20" s="1"/>
  <c r="F25" i="20"/>
  <c r="H25" i="20" s="1"/>
  <c r="H24" i="20"/>
  <c r="H26" i="20" l="1"/>
  <c r="I25" i="20"/>
  <c r="J25" i="20" s="1"/>
  <c r="L25" i="20" s="1"/>
  <c r="J24" i="20"/>
  <c r="L24" i="20" s="1"/>
  <c r="L26" i="20" l="1"/>
  <c r="N26" i="20" s="1"/>
  <c r="C15" i="13" s="1"/>
  <c r="C16" i="24" l="1"/>
  <c r="B16" i="24" s="1"/>
  <c r="B35" i="24" s="1"/>
  <c r="C35" i="24" s="1"/>
  <c r="K35" i="11" l="1"/>
  <c r="I35" i="11"/>
  <c r="D56" i="11" s="1"/>
  <c r="J35" i="11"/>
  <c r="C48" i="11" l="1"/>
  <c r="D48" i="11" s="1"/>
  <c r="C51" i="11"/>
  <c r="D51" i="11" s="1"/>
  <c r="C40" i="11"/>
  <c r="D40" i="11" s="1"/>
  <c r="C35" i="11"/>
  <c r="D35" i="11" s="1"/>
  <c r="C38" i="11"/>
  <c r="D38" i="11" s="1"/>
  <c r="C53" i="11"/>
  <c r="D53" i="11" s="1"/>
  <c r="C41" i="11"/>
  <c r="D41" i="11" s="1"/>
  <c r="C46" i="11"/>
  <c r="D46" i="11" s="1"/>
  <c r="C45" i="11"/>
  <c r="D45" i="11" s="1"/>
  <c r="C43" i="11"/>
  <c r="D43" i="11" s="1"/>
  <c r="C39" i="11"/>
  <c r="D39" i="11" s="1"/>
  <c r="C52" i="11"/>
  <c r="D52" i="11" s="1"/>
  <c r="C36" i="11"/>
  <c r="D36" i="11" s="1"/>
  <c r="C47" i="11"/>
  <c r="D47" i="11" s="1"/>
  <c r="C44" i="11"/>
  <c r="D44" i="11" s="1"/>
  <c r="C37" i="11"/>
  <c r="D37" i="11" s="1"/>
  <c r="C49" i="11"/>
  <c r="D49" i="11" s="1"/>
  <c r="C42" i="11"/>
  <c r="D42" i="11" s="1"/>
  <c r="C50" i="11"/>
  <c r="D50" i="11" s="1"/>
  <c r="C34" i="11"/>
  <c r="D34" i="11" s="1"/>
  <c r="D69" i="11" l="1"/>
  <c r="D70" i="11" s="1"/>
  <c r="B12" i="11" s="1"/>
  <c r="D61" i="11"/>
  <c r="B11" i="11" s="1"/>
  <c r="C69" i="11"/>
  <c r="C70" i="11" s="1"/>
  <c r="B73" i="11" s="1"/>
  <c r="B75" i="11" s="1"/>
  <c r="B36" i="12" l="1"/>
  <c r="B37" i="12" s="1"/>
  <c r="B38" i="12" s="1"/>
  <c r="B41" i="12" s="1"/>
  <c r="C5" i="13"/>
  <c r="C6" i="13" s="1"/>
  <c r="B39" i="12" l="1"/>
  <c r="B42" i="12" s="1"/>
  <c r="C26" i="13" s="1"/>
  <c r="C27" i="13" s="1"/>
  <c r="T33" i="26"/>
  <c r="E3" i="26"/>
  <c r="E6" i="26" s="1"/>
  <c r="F6" i="26" s="1"/>
  <c r="H6" i="26" l="1"/>
  <c r="F7" i="26"/>
  <c r="H7" i="26" s="1"/>
  <c r="E7" i="26"/>
  <c r="E8" i="26" s="1"/>
  <c r="E9" i="26" s="1"/>
  <c r="E10" i="26" s="1"/>
  <c r="E11" i="26" s="1"/>
  <c r="E12" i="26" s="1"/>
  <c r="E13" i="26" s="1"/>
  <c r="E14" i="26" s="1"/>
  <c r="E15" i="26" s="1"/>
  <c r="E16" i="26" s="1"/>
  <c r="E17" i="26" s="1"/>
  <c r="E18" i="26" s="1"/>
  <c r="E19" i="26" s="1"/>
  <c r="E20" i="26" s="1"/>
  <c r="E21" i="26" s="1"/>
  <c r="E22" i="26" s="1"/>
  <c r="E23" i="26" s="1"/>
  <c r="E24" i="26" s="1"/>
  <c r="E25" i="26" s="1"/>
  <c r="F8" i="26"/>
  <c r="F9" i="26" l="1"/>
  <c r="H8" i="26"/>
  <c r="F10" i="26" l="1"/>
  <c r="H9" i="26"/>
  <c r="F11" i="26" l="1"/>
  <c r="H10" i="26"/>
  <c r="F12" i="26" l="1"/>
  <c r="H11" i="26"/>
  <c r="F13" i="26" l="1"/>
  <c r="H12" i="26"/>
  <c r="F14" i="26" l="1"/>
  <c r="H13" i="26"/>
  <c r="H14" i="26" l="1"/>
  <c r="F15" i="26"/>
  <c r="F16" i="26" l="1"/>
  <c r="H15" i="26"/>
  <c r="H16" i="26" l="1"/>
  <c r="F17" i="26"/>
  <c r="F18" i="26" l="1"/>
  <c r="H17" i="26"/>
  <c r="H18" i="26" l="1"/>
  <c r="F19" i="26"/>
  <c r="F20" i="26" l="1"/>
  <c r="H19" i="26"/>
  <c r="F21" i="26" l="1"/>
  <c r="H20" i="26"/>
  <c r="F22" i="26" l="1"/>
  <c r="H21" i="26"/>
  <c r="H22" i="26" l="1"/>
  <c r="F23" i="26"/>
  <c r="F24" i="26" l="1"/>
  <c r="H23" i="26"/>
  <c r="H24" i="26" l="1"/>
  <c r="F25" i="26"/>
  <c r="H25" i="26" s="1"/>
  <c r="H26" i="26" s="1"/>
  <c r="N26" i="26" s="1"/>
  <c r="C16" i="13" s="1"/>
  <c r="C18" i="13" s="1"/>
  <c r="C29" i="13" s="1"/>
  <c r="C32" i="13" l="1"/>
  <c r="C31" i="13"/>
</calcChain>
</file>

<file path=xl/sharedStrings.xml><?xml version="1.0" encoding="utf-8"?>
<sst xmlns="http://schemas.openxmlformats.org/spreadsheetml/2006/main" count="836" uniqueCount="486">
  <si>
    <t>Base Year of Nominal Dollar</t>
  </si>
  <si>
    <t>NOTE: Highlighted values developed based on linear growth rate. Rate calculated using existing values.</t>
  </si>
  <si>
    <t>Year</t>
  </si>
  <si>
    <t>ROW</t>
  </si>
  <si>
    <t>Project Year</t>
  </si>
  <si>
    <t>This sheet presents the projected crash user costs for the No-Build Scenario</t>
  </si>
  <si>
    <t>KABCO-AIS Conversion Table, FHWA 2018</t>
  </si>
  <si>
    <t>Injured - Severity Unknown</t>
  </si>
  <si>
    <t>O - No injury</t>
  </si>
  <si>
    <t>AIS 0</t>
  </si>
  <si>
    <t>AIS 1</t>
  </si>
  <si>
    <t>Fatalities</t>
  </si>
  <si>
    <t>AIS 2</t>
  </si>
  <si>
    <t>AIS 3</t>
  </si>
  <si>
    <t>AIS 4</t>
  </si>
  <si>
    <t>AIS 5</t>
  </si>
  <si>
    <t>https://safety.fhwa.dot.gov/hsip/docs/fhwasa17071.pdf</t>
  </si>
  <si>
    <t>Annual Crashes by MAIS</t>
  </si>
  <si>
    <t>Cost of Crashes by MAIS</t>
  </si>
  <si>
    <t>MAIS 5</t>
  </si>
  <si>
    <t>MAIS 4</t>
  </si>
  <si>
    <t>MAIS 3</t>
  </si>
  <si>
    <t>MAIS 2</t>
  </si>
  <si>
    <t>MAIS 1</t>
  </si>
  <si>
    <t>PDO</t>
  </si>
  <si>
    <t>Total</t>
  </si>
  <si>
    <t>Discounted Crash Costs at 7%</t>
  </si>
  <si>
    <t>YEAR</t>
  </si>
  <si>
    <t>Estimated Fatalities</t>
  </si>
  <si>
    <t>Estimated Injuries</t>
  </si>
  <si>
    <t xml:space="preserve">ROW </t>
  </si>
  <si>
    <t>Future Project Costs</t>
  </si>
  <si>
    <t>Previous Costs</t>
  </si>
  <si>
    <t>Construction Start</t>
  </si>
  <si>
    <t>Construction Finish</t>
  </si>
  <si>
    <t>Project components will have a useful life longer than the analysis period</t>
  </si>
  <si>
    <t>Industrial buildings</t>
  </si>
  <si>
    <t>Mobile offices/17/</t>
  </si>
  <si>
    <t>Office buildings/17/</t>
  </si>
  <si>
    <t>Commercial warehouses/17/</t>
  </si>
  <si>
    <t>Other commercial buildings/17/</t>
  </si>
  <si>
    <t>Religious buildings</t>
  </si>
  <si>
    <t>Educational buildings</t>
  </si>
  <si>
    <t>Hospital and institutional buildings</t>
  </si>
  <si>
    <t>Hotels and motels/18/</t>
  </si>
  <si>
    <t>Amusement and recreational buildings/18/</t>
  </si>
  <si>
    <t>All other nonfarm buildings/18/,/19/</t>
  </si>
  <si>
    <t>Railroad replacement track/19//20/</t>
  </si>
  <si>
    <t>Other railroad structures/19//20/</t>
  </si>
  <si>
    <t>Telecommunications/20/</t>
  </si>
  <si>
    <t>Railroad equipment*</t>
  </si>
  <si>
    <t>Highways and streets</t>
  </si>
  <si>
    <t>Conservation and development</t>
  </si>
  <si>
    <t>Sewer systems</t>
  </si>
  <si>
    <t>Water systems</t>
  </si>
  <si>
    <t>Military facilities</t>
  </si>
  <si>
    <t>Other</t>
  </si>
  <si>
    <t>Source: BEA Rate of Depreciation, Service Lives, Declining-Balance Rates, and Hulten-Wykoff Categories</t>
  </si>
  <si>
    <t>http://www.bea.gov/scb/account_articles/national/wlth2594/tableC.htm</t>
  </si>
  <si>
    <t>FTA Circulator 5010.1D Grant Management Requirements 2008, https://cms.fta.dot.gov/funding/grant-programs/capital-investments/fta-circular-50101d-november-2008</t>
  </si>
  <si>
    <t>7% Discount Rate</t>
  </si>
  <si>
    <t>Capital Cost</t>
  </si>
  <si>
    <t>Total Costs</t>
  </si>
  <si>
    <t>Safety Benefits</t>
  </si>
  <si>
    <t>Reduced Crashes</t>
  </si>
  <si>
    <t>Sub-Total</t>
  </si>
  <si>
    <t>Operational Benefits</t>
  </si>
  <si>
    <t>Residual Savings</t>
  </si>
  <si>
    <t>Total Benefits</t>
  </si>
  <si>
    <t>Outcome</t>
  </si>
  <si>
    <t>Benefit-Cost Ratio</t>
  </si>
  <si>
    <t>Crash Costs as a Function of Roadway Type</t>
  </si>
  <si>
    <t>There is a potential crash reduction based on the improved roadway characteristics.</t>
  </si>
  <si>
    <t>Costs (2020 M$)</t>
  </si>
  <si>
    <t>Benefits (2020 M$)</t>
  </si>
  <si>
    <t>Net Present Value (2020 M$)</t>
  </si>
  <si>
    <t>2020$</t>
  </si>
  <si>
    <t>Multiplier to Adjust to Real $2020</t>
  </si>
  <si>
    <t>2020 $</t>
  </si>
  <si>
    <t>Asset after 20 years of service</t>
  </si>
  <si>
    <t>Total Value Remaining in 2046$</t>
  </si>
  <si>
    <t>Discounted at 7% to 2020$</t>
  </si>
  <si>
    <t>Total Year 2046$</t>
  </si>
  <si>
    <t xml:space="preserve">AIS 2 </t>
  </si>
  <si>
    <t>AIS 0  per vehicle</t>
  </si>
  <si>
    <t xml:space="preserve">AIS 3 </t>
  </si>
  <si>
    <t xml:space="preserve">AIS 4 </t>
  </si>
  <si>
    <t>AIS 6</t>
  </si>
  <si>
    <t>Q4</t>
  </si>
  <si>
    <t>Source: USDOT BCA 2022 Guidance - Table A-7</t>
  </si>
  <si>
    <t>Average Pedestrian Trip Length (miles)</t>
  </si>
  <si>
    <t>Average Cycling Trip Length (Miles)</t>
  </si>
  <si>
    <t>Annual 2020 Value based on $.10 per person mile walked</t>
  </si>
  <si>
    <t>Annual 2020 Value based on $1.42 per Cycling Mile</t>
  </si>
  <si>
    <t>Totals</t>
  </si>
  <si>
    <t>Health Benefits</t>
  </si>
  <si>
    <t>Values based on Tables A-8 &amp; A-9 in USDOT BCA Guidance 2022</t>
  </si>
  <si>
    <t>Mortality Reduction Benefits of Induced Active Transportation Values</t>
  </si>
  <si>
    <t>Recommended 2020 Value per Induced Walking Trip</t>
  </si>
  <si>
    <t>Recommended 2020 Value per Induced Cycling Trip</t>
  </si>
  <si>
    <t>EAST KNOXVILLE GREENWAY</t>
  </si>
  <si>
    <t>MORNINGSIDE CONNECTOR</t>
  </si>
  <si>
    <t>AUSTIN HOMES CONNECTOR</t>
  </si>
  <si>
    <t>JAMES WHITE PARKWAY LINEAR PARK</t>
  </si>
  <si>
    <t>DANDRIDGE CONNECTOR</t>
  </si>
  <si>
    <t>CENSUS TRACT #</t>
  </si>
  <si>
    <t>20, 21, 68</t>
  </si>
  <si>
    <t>CONSTRUCTION COMPLETE</t>
  </si>
  <si>
    <t>PROJECT COST</t>
  </si>
  <si>
    <t>CONSTRUCTION BID</t>
  </si>
  <si>
    <t>JAMES WHITE BRIDGE CONNECTOR</t>
  </si>
  <si>
    <t>67, 68</t>
  </si>
  <si>
    <t>LENGTH (miles)</t>
  </si>
  <si>
    <t>LENGTH (feet)</t>
  </si>
  <si>
    <t>CURRENT PHASE</t>
  </si>
  <si>
    <t>NEPA</t>
  </si>
  <si>
    <t>PARTIALLY FUNDED</t>
  </si>
  <si>
    <t>UNFUNDED AMOUNT</t>
  </si>
  <si>
    <t>TIP / FUNDING STATUS</t>
  </si>
  <si>
    <t>PROGRAMMING</t>
  </si>
  <si>
    <t>NOT FUNDED</t>
  </si>
  <si>
    <t>CONSTRUCTION</t>
  </si>
  <si>
    <t>DESIGN</t>
  </si>
  <si>
    <t>PROJECT SCHEDULE</t>
  </si>
  <si>
    <t>PROJECT PHASE - FUNDING STATUS</t>
  </si>
  <si>
    <t>$/Mile</t>
  </si>
  <si>
    <t>Miles</t>
  </si>
  <si>
    <t>Miles / Hour</t>
  </si>
  <si>
    <t>200  M</t>
  </si>
  <si>
    <t>400 M</t>
  </si>
  <si>
    <t>800 M</t>
  </si>
  <si>
    <t>BIKE %</t>
  </si>
  <si>
    <t>WALK %</t>
  </si>
  <si>
    <t>600 M</t>
  </si>
  <si>
    <t>DISTANCE FROM FACILITY</t>
  </si>
  <si>
    <t>20, 21, 67, 68</t>
  </si>
  <si>
    <t>STADIUM CONNECTOR</t>
  </si>
  <si>
    <t>AUSTIN HOMES GREENWAY CONNECTOR</t>
  </si>
  <si>
    <t>1,200 M</t>
  </si>
  <si>
    <t>1,600 M</t>
  </si>
  <si>
    <t>3,200 M</t>
  </si>
  <si>
    <t>BOTH SIDES</t>
  </si>
  <si>
    <t>ONE SIDE</t>
  </si>
  <si>
    <t>TRIP GENERATION TABLE INPUTS</t>
  </si>
  <si>
    <t>2020 CENSUS TOTAL LABOR FORCE</t>
  </si>
  <si>
    <t>2018 Bike Commuter Rate from The League of American Bicyclists</t>
  </si>
  <si>
    <t>NCHRP 552 Guidelines for Analysis of Investiments in Bicycle Facilities</t>
  </si>
  <si>
    <t>Adult %</t>
  </si>
  <si>
    <t>Based on 2020 Census</t>
  </si>
  <si>
    <t>TOTAL</t>
  </si>
  <si>
    <t>Bike Commuters based on Total Labor Force</t>
  </si>
  <si>
    <t>Walking Commuters based on Total Labor Force</t>
  </si>
  <si>
    <t>COMMUTER %</t>
  </si>
  <si>
    <t>MODE  COMMUTER TRIPS</t>
  </si>
  <si>
    <t>FY22 - RCP GRANT</t>
  </si>
  <si>
    <t>FUNDED</t>
  </si>
  <si>
    <t>TOTAL FUNDING</t>
  </si>
  <si>
    <t>FEDERAL FUNDING</t>
  </si>
  <si>
    <t>2019 &amp; FY22 - RCP GRANT</t>
  </si>
  <si>
    <t>STATE FUNDING</t>
  </si>
  <si>
    <t>LOCAL FUNDING</t>
  </si>
  <si>
    <t>9 TRACT AREAS</t>
  </si>
  <si>
    <t>FUNDING STATUS</t>
  </si>
  <si>
    <t>PROJECT LENGTH</t>
  </si>
  <si>
    <t>PROJECT COSTS &amp; FUNDING</t>
  </si>
  <si>
    <t>YR PROJECT FUNDED</t>
  </si>
  <si>
    <t xml:space="preserve">Pedestrian/Bike Path of Mainline Greenway </t>
  </si>
  <si>
    <t>Ped Traffic Growth Assumption</t>
  </si>
  <si>
    <t>Estimated Ped Trips / Day</t>
  </si>
  <si>
    <t>Bike Traffic Growth Assumption</t>
  </si>
  <si>
    <t>Estimated Bike Trips / Day</t>
  </si>
  <si>
    <t>Estimated Pedestrian Trips / Day</t>
  </si>
  <si>
    <t>Pedestrian Trip Assumptions</t>
  </si>
  <si>
    <t>Bike Trip Assumptions</t>
  </si>
  <si>
    <t xml:space="preserve">Estimated Annual Pedestrian Trips </t>
  </si>
  <si>
    <t>Estimated Annual Bike Trips</t>
  </si>
  <si>
    <t>TOTAL BENEFIT</t>
  </si>
  <si>
    <t>Base Commute Rate ( C )</t>
  </si>
  <si>
    <t>Bike Commuter %</t>
  </si>
  <si>
    <t>Walk Commuter %</t>
  </si>
  <si>
    <t xml:space="preserve">BASE DAILY TRIPS  </t>
  </si>
  <si>
    <t>Based on NCHRP 552</t>
  </si>
  <si>
    <t>NON GOVERNMENT LOCAL FUNDING</t>
  </si>
  <si>
    <t>8, 68</t>
  </si>
  <si>
    <t>8, 22, 23</t>
  </si>
  <si>
    <t>Commuter %</t>
  </si>
  <si>
    <t>BUFFER WIDTH (M)</t>
  </si>
  <si>
    <t>AREA OF EACH BUFFER (KM^2)</t>
  </si>
  <si>
    <t>BIKE TRIPS</t>
  </si>
  <si>
    <t>LOW</t>
  </si>
  <si>
    <t>MEDUIM</t>
  </si>
  <si>
    <t>HIGH</t>
  </si>
  <si>
    <t>Number of Pedestrians</t>
  </si>
  <si>
    <t>Number of Bicyclists</t>
  </si>
  <si>
    <t>NEPA - DESIGN</t>
  </si>
  <si>
    <t>OLD CITY CONNECTOR</t>
  </si>
  <si>
    <t>SCIENCE MUSEUM CONNECTOR</t>
  </si>
  <si>
    <t>Estimated Induced Ped Trips / Day</t>
  </si>
  <si>
    <t>Estimated Induced Bike Trips / Day</t>
  </si>
  <si>
    <t xml:space="preserve">20-74 Age Range % of Population </t>
  </si>
  <si>
    <t>20-64 Age Range % of Population</t>
  </si>
  <si>
    <t>Bicycle % of Total Trips are Induced</t>
  </si>
  <si>
    <t>Walking % of Total Trips are Induced</t>
  </si>
  <si>
    <t>Total Annual Value of Induced Cycling Trips (assume 59% Trips are induced)</t>
  </si>
  <si>
    <t>Population within Buffer Area</t>
  </si>
  <si>
    <t>Cumulative Population within Buffer Zone</t>
  </si>
  <si>
    <t>KNOXVILLE CRASH RATE (CRASHES / 1000 POP)</t>
  </si>
  <si>
    <t>BUFFER / CRASHES / YEAR</t>
  </si>
  <si>
    <t>BUFFER CRASH RATE / KNOXVILLE CRASH RATE</t>
  </si>
  <si>
    <t xml:space="preserve">BUFFER CRASH RATE PER 1000 POP </t>
  </si>
  <si>
    <t>PREDICTED CRASHES AFTER PROJECT</t>
  </si>
  <si>
    <t>PREDICTED BIKE &amp; PED CRASHES AFTER PROJECT</t>
  </si>
  <si>
    <t xml:space="preserve">URBAN WILDERNESS  </t>
  </si>
  <si>
    <t>LOCAL MATCH</t>
  </si>
  <si>
    <t>FEDERAL</t>
  </si>
  <si>
    <t>FEDERAL - RCP GRANT</t>
  </si>
  <si>
    <t>EQUALS PROJECT COST</t>
  </si>
  <si>
    <t>STATE &amp; NON GOVERNMENT &amp; GOVERNMENT MATCH</t>
  </si>
  <si>
    <t>INDUCED BIKE TRIPS (TRIPS - EXISTING BIKE COMMUTERS)</t>
  </si>
  <si>
    <t>INDUCED WALK TRIPS (TRIPS - EXISTING WALK COMMUTERS)</t>
  </si>
  <si>
    <t xml:space="preserve">INDUCED BIKE TRIPS (TRIPS X 59%) - USDOT BCA 2022 Guide Table A-12  </t>
  </si>
  <si>
    <t>INDUCED WALK TRIPS (TRIPS X 68%) -  USDOT BCA 2022 Guide Table A-12</t>
  </si>
  <si>
    <t>Equity Benefits</t>
  </si>
  <si>
    <t>DAILY TRIPS</t>
  </si>
  <si>
    <t>ROW-UTILITY</t>
  </si>
  <si>
    <t>CONSTRUCTION STARTS</t>
  </si>
  <si>
    <t>PROJECT PHASE</t>
  </si>
  <si>
    <t>YEAR OF CAPITAL SPENDING</t>
  </si>
  <si>
    <t>OPERATION</t>
  </si>
  <si>
    <t>CAPITAL SPENDING</t>
  </si>
  <si>
    <t>YEAR #</t>
  </si>
  <si>
    <t>UNDISCOUNTED</t>
  </si>
  <si>
    <t>DISCOUNTED</t>
  </si>
  <si>
    <t>PROJECT COSTS</t>
  </si>
  <si>
    <t>DISCOUNT</t>
  </si>
  <si>
    <t>DISCOUNT YEAR</t>
  </si>
  <si>
    <t>Q1</t>
  </si>
  <si>
    <t>POST PROJECT BIKE TRIPS GENERATED (CALCULATED)</t>
  </si>
  <si>
    <t>POST PROJECT WALKING TRIPS GENERATED (CALCULATED)</t>
  </si>
  <si>
    <t>TOTAL CENSUS TRACT POPULATION</t>
  </si>
  <si>
    <t>TRACT AREA 
(SQ MILES)</t>
  </si>
  <si>
    <t>TRACT AREA 
(SQ KM)</t>
  </si>
  <si>
    <t>POPULATION DENSITY 
(POP / SQ MILE)</t>
  </si>
  <si>
    <t>POPULATION DENSITY 
(POP / SQ KM)</t>
  </si>
  <si>
    <t xml:space="preserve">SCHEDULE FOR CAPITAL SPENDING </t>
  </si>
  <si>
    <t>SPENDING PHASES</t>
  </si>
  <si>
    <t xml:space="preserve">PROJECT AREA 
POPULATION DENSITY </t>
  </si>
  <si>
    <t>ANNUAL BIKE AND PED CRASH REDUCTION</t>
  </si>
  <si>
    <t>CRASH REDUCTION SUMMARY</t>
  </si>
  <si>
    <t>PER 1,000 POP / WITHIN 400M OF PROJECT</t>
  </si>
  <si>
    <t>CRASH RATE</t>
  </si>
  <si>
    <t>CRASH RATE SEVERITY DISTRIBUTION</t>
  </si>
  <si>
    <t>Estimated Crashes</t>
  </si>
  <si>
    <t xml:space="preserve">EXPOSED POPULATION </t>
  </si>
  <si>
    <t>COST PER INJURY</t>
  </si>
  <si>
    <t>(K) FATALS</t>
  </si>
  <si>
    <t>(A) SERIOUS INJURY</t>
  </si>
  <si>
    <t>(B) MINOR INJURY</t>
  </si>
  <si>
    <t>(O) PROPERTY DAMAGE ONLY</t>
  </si>
  <si>
    <t>CRASH LEVEL PROFILE</t>
  </si>
  <si>
    <t>(C) POSSIBLE INJURY</t>
  </si>
  <si>
    <t>POPULATION GROWTH RATE</t>
  </si>
  <si>
    <t>METRO KNOXVILLE POPULATION GROWTH RATE</t>
  </si>
  <si>
    <t>DISCOUNT RATE</t>
  </si>
  <si>
    <t>Pedestrian/Bike Trips Generated by Stadium</t>
  </si>
  <si>
    <t>Pedestrian/Bike Trips Generated by Urban Wildreness</t>
  </si>
  <si>
    <t>Fatalities2</t>
  </si>
  <si>
    <t>MAIS 53</t>
  </si>
  <si>
    <t>MAIS 44</t>
  </si>
  <si>
    <t>MAIS 35</t>
  </si>
  <si>
    <t>MAIS 26</t>
  </si>
  <si>
    <t>MAIS 17</t>
  </si>
  <si>
    <t>PDO8</t>
  </si>
  <si>
    <t>HOUSEHOLDS WITHOUT A VEHICLE</t>
  </si>
  <si>
    <t>CENSUS TRACTS AFFECTED BY PROJECT</t>
  </si>
  <si>
    <t>Mobility Benefits</t>
  </si>
  <si>
    <t>NEW BIKE COMMUTERS</t>
  </si>
  <si>
    <t>Values based on NCHRP 552 Mobility Benefits for Bicyclist Commuters</t>
  </si>
  <si>
    <t xml:space="preserve">Bike Commuters (Existing and New) </t>
  </si>
  <si>
    <t>Per Trip $ Benefit for Off Road Bike Facility</t>
  </si>
  <si>
    <t>BIKE COMMUTING BENEFIT BASED ON IMPROVED CONNECTIONS</t>
  </si>
  <si>
    <t xml:space="preserve">Annual Trip Based on 50 Week, 5 Days / Week, 2 Trips / Day </t>
  </si>
  <si>
    <t>$12 / per trip - Establishing bike connectivity that didn't existing before the Project</t>
  </si>
  <si>
    <t>Values based on Tables A-12 USDOT BCA Guidance 2022</t>
  </si>
  <si>
    <t>MOTOR VEHICLE COMMUTER</t>
  </si>
  <si>
    <t>TOTAL BUFFER AREA</t>
  </si>
  <si>
    <t>CULTURE 
CORRIDOR</t>
  </si>
  <si>
    <t>SUMMIT HILL CONNECTOR</t>
  </si>
  <si>
    <t>2019 &amp; 2022 RCP GRANT</t>
  </si>
  <si>
    <t>2022 - RCP GRANT</t>
  </si>
  <si>
    <t>2022- RCP GRANT</t>
  </si>
  <si>
    <t>HILL AVENUE
CONNECTOR</t>
  </si>
  <si>
    <t>SUMMIT HILL 
CONNECTOR</t>
  </si>
  <si>
    <t>HILL AVENUE 
CONNECTOR</t>
  </si>
  <si>
    <t>DANDRIDGE 
CONNECTOR</t>
  </si>
  <si>
    <t>URBAN WILDERNESS  GATEWAY PARK</t>
  </si>
  <si>
    <t>YEAR OF EXPENDITURE</t>
  </si>
  <si>
    <t>PROJECT DESCRIPTION</t>
  </si>
  <si>
    <t>2021</t>
  </si>
  <si>
    <t>2022</t>
  </si>
  <si>
    <t>2023</t>
  </si>
  <si>
    <t>2024</t>
  </si>
  <si>
    <t>2025</t>
  </si>
  <si>
    <t>2026</t>
  </si>
  <si>
    <t>PE NEPA</t>
  </si>
  <si>
    <t>PE DESIGN</t>
  </si>
  <si>
    <t>CONSTRUCTION 
STARTS</t>
  </si>
  <si>
    <t>CONSTRUCTION 
COMPLETE</t>
  </si>
  <si>
    <t>CULTURE CORRIDOR</t>
  </si>
  <si>
    <t>HILL AVENUE CONNECTOR</t>
  </si>
  <si>
    <t>TOTAL COST</t>
  </si>
  <si>
    <t>CAPITAL COSTS SUMMARY</t>
  </si>
  <si>
    <t>200 M</t>
  </si>
  <si>
    <t>COMMUTER OR HOUSEHOLDS</t>
  </si>
  <si>
    <t>HOUSEHOLDS</t>
  </si>
  <si>
    <t># HOUSEHOLDS</t>
  </si>
  <si>
    <t>WITHIN A 1.0 MILE OF THE PROJECT</t>
  </si>
  <si>
    <t>POPULATION OF AREA</t>
  </si>
  <si>
    <t>% WITHOUT VEHICLE</t>
  </si>
  <si>
    <t>BASED ON 2020 ACS CENSUS DATA</t>
  </si>
  <si>
    <t>HOUSEHOLDS WITHOUT A VEHICLE (HWOV)</t>
  </si>
  <si>
    <t>HWOV - NEW BIKE COMMUTERS</t>
  </si>
  <si>
    <t>NEW WALKING TRIPS - Urban Wilderness  - VENUE DRIVEN TRIPS</t>
  </si>
  <si>
    <t>NEW BIKE TRIPS - Urban Wilderness - VENUE DRIVEN TRIPS</t>
  </si>
  <si>
    <t>Bike Trips from Urban Wilderness to Downtown</t>
  </si>
  <si>
    <t>STADIUM RESIDENTAL UNITS</t>
  </si>
  <si>
    <t>2021 Knox County Multi Use Stadium Tax Revenue and Economic Impact Analysis</t>
  </si>
  <si>
    <t>ANNUAL ATTENDANCE AT EVENT</t>
  </si>
  <si>
    <t>Bike and Walk Trips from Attendance to Local Community Events and Festivals</t>
  </si>
  <si>
    <t>Local Event Trip Generation determined by commuter percentages from 2020 Census Data</t>
  </si>
  <si>
    <t>Walking Trips from Parking Garages used for daily trip average</t>
  </si>
  <si>
    <t>PROGRAMING</t>
  </si>
  <si>
    <t>PREVIOUS CONSTRUCTION</t>
  </si>
  <si>
    <t>PREVIOUS DESIGN</t>
  </si>
  <si>
    <t>FUTURE DESIGN</t>
  </si>
  <si>
    <t>FUTURE CONSTRUCTION</t>
  </si>
  <si>
    <t>FUTURE ROW</t>
  </si>
  <si>
    <t>2023 DESIGN</t>
  </si>
  <si>
    <t>FUTURE OPERATIONS</t>
  </si>
  <si>
    <t>2021 CONST</t>
  </si>
  <si>
    <t>2022 CONST</t>
  </si>
  <si>
    <t>CONST</t>
  </si>
  <si>
    <t>CEI</t>
  </si>
  <si>
    <t>CONTINGENCY</t>
  </si>
  <si>
    <t>FUTURE PROJECT</t>
  </si>
  <si>
    <t>CAPITAL COST SUMMARY DETAIL</t>
  </si>
  <si>
    <t>UTILITIES</t>
  </si>
  <si>
    <t>TOTAL INCURRED</t>
  </si>
  <si>
    <t>UTILITY</t>
  </si>
  <si>
    <t>FUTURE PROJECT (YOE$)</t>
  </si>
  <si>
    <t>PREVIOUS INCURRED COSTS (2020$)</t>
  </si>
  <si>
    <t>NEPA &amp; DESIGN</t>
  </si>
  <si>
    <t>CONST CONTINGENCIES (10%)</t>
  </si>
  <si>
    <t>CONST ENGINEERING (10%)</t>
  </si>
  <si>
    <t>20 YR MAINTENANCE</t>
  </si>
  <si>
    <t>TOTAL FUTURE</t>
  </si>
  <si>
    <t>PREVIOUS INCURRED COSTS (YOE$)</t>
  </si>
  <si>
    <t>FUTURE PROJECT (2020$)</t>
  </si>
  <si>
    <t>YOE$</t>
  </si>
  <si>
    <t>TABLE CROSSCHECK</t>
  </si>
  <si>
    <t>BCA CAPITAL COST SHEET</t>
  </si>
  <si>
    <t>PROJECT COSTS (YOE$)</t>
  </si>
  <si>
    <t>DIFFERENCE</t>
  </si>
  <si>
    <t>SERVICE LIFE (YEARS)</t>
  </si>
  <si>
    <t>TYPE OF ASSET</t>
  </si>
  <si>
    <t>RESIDUAL BENEFIT w/ 7% (2020$)</t>
  </si>
  <si>
    <t>RESIDUAL BENEFIT SUMMARY</t>
  </si>
  <si>
    <t>INFLATION 2021 FACTOR</t>
  </si>
  <si>
    <t>INFLATION 2022 FACTOR</t>
  </si>
  <si>
    <t>INFLATION FACTOR - USDOT BCA 2022 Guidance - Table A-7</t>
  </si>
  <si>
    <t>Bikes</t>
  </si>
  <si>
    <t>Pedestrian - Walk, Hike, Running</t>
  </si>
  <si>
    <t>URBAN WILDERNESS - MODE SPLIT</t>
  </si>
  <si>
    <t>Estimated Annual pedestrians ages 20-74
 (assume induced pedestrian trips per day begin 2027)</t>
  </si>
  <si>
    <t>Total Annual Value of Induced Trips
 (assume 89% of trips are induced)</t>
  </si>
  <si>
    <t>Estimated Annual Bike Riders ages 20-64 
(assume induced bike trips begin in 2027)</t>
  </si>
  <si>
    <t xml:space="preserve">AGE DISTRIBUTION SUMMARY </t>
  </si>
  <si>
    <t>CENSUS TRACTS 1, 8,19,20,21,22,23,67,68</t>
  </si>
  <si>
    <t>AGE</t>
  </si>
  <si>
    <t>POPULATION</t>
  </si>
  <si>
    <t>%</t>
  </si>
  <si>
    <t>Under 5 years</t>
  </si>
  <si>
    <t>5 to 9 years</t>
  </si>
  <si>
    <t>10 to 14 years</t>
  </si>
  <si>
    <t>15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</si>
  <si>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</si>
  <si>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</si>
  <si>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</si>
  <si>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</si>
  <si>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</si>
  <si>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</si>
  <si>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</si>
  <si>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to 59 years</t>
  </si>
  <si>
    <t>60 to 64 years</t>
  </si>
  <si>
    <t>65 to 69 years</t>
  </si>
  <si>
    <t>70 to 74 years</t>
  </si>
  <si>
    <t>75 to 79 years</t>
  </si>
  <si>
    <t>80 to 84 years</t>
  </si>
  <si>
    <t>85 years and over</t>
  </si>
  <si>
    <t xml:space="preserve">American Community Survey ACS 2020 SO101 - 5 YEAR </t>
  </si>
  <si>
    <t>20 TO 64</t>
  </si>
  <si>
    <t>20 TO 74</t>
  </si>
  <si>
    <t>See Table Below</t>
  </si>
  <si>
    <t>TOTAL PED CRASHES 5 YR - 400M BUFFER AREA</t>
  </si>
  <si>
    <t>TOTAL BIKE CRASHES 5YR - 400 M BUFFER AREA</t>
  </si>
  <si>
    <t>TOTAL BIKE &amp; PED CRASHES - 5 YEAR PERIOD</t>
  </si>
  <si>
    <t>NO BUILD CRASH STATISTICS (2017 TO 2021)</t>
  </si>
  <si>
    <t>BUFFER AREA AROUND PROJECT</t>
  </si>
  <si>
    <t>TOTAL POPULATION WITHIN EACH AREA</t>
  </si>
  <si>
    <t>BUFFER CRASH RATE - after 0.92 CMF APPLIED</t>
  </si>
  <si>
    <t>200 M + 400 M AREAS</t>
  </si>
  <si>
    <t>NO BUILD CRASH DATA</t>
  </si>
  <si>
    <t>NO BUILD CRASH RATES</t>
  </si>
  <si>
    <t>BUILD CRASH RATES</t>
  </si>
  <si>
    <t>CRASH REDUCTION NO BUILD VS BUILD</t>
  </si>
  <si>
    <t xml:space="preserve">PROJECT BUFFER AREAS </t>
  </si>
  <si>
    <t>RESIDUAL BENEFITS SUMMARY</t>
  </si>
  <si>
    <t>UNITS FOR RESIDUAL BENEFITS</t>
  </si>
  <si>
    <t>VALUE OF ROW (DOES NOT DEPRECIATE)</t>
  </si>
  <si>
    <t>END OF LIFE YEAR FOR REMAINING VALUE</t>
  </si>
  <si>
    <t>INFLATION FACTORS</t>
  </si>
  <si>
    <t>CAGR=</t>
  </si>
  <si>
    <t>Access to Bike Commuting</t>
  </si>
  <si>
    <t>Access to Pedestrian &amp; Bike Recreation</t>
  </si>
  <si>
    <t>Bike Commuter Stadium</t>
  </si>
  <si>
    <t>American Trails - Webinar - UT Professor Gene Fitzhugh- Presentation about the Urban Wilderness Trail 2020 Trail Count - Survey</t>
  </si>
  <si>
    <t>Induced Biking % from NCHRP 552 200M Buffer</t>
  </si>
  <si>
    <t>Commuter % Based on 2020 Census Ridership</t>
  </si>
  <si>
    <t>Induced Walking % from NCHRP 552 200M Buffer</t>
  </si>
  <si>
    <t>TRIPS</t>
  </si>
  <si>
    <t>USER %</t>
  </si>
  <si>
    <t>TRIP DESCRIPTION</t>
  </si>
  <si>
    <t>New Bike Trips - Community Events and Festivals</t>
  </si>
  <si>
    <t># of Households</t>
  </si>
  <si>
    <t>ATTENDANCE AT STADIUM COMMUNITY AND FESTIVAL</t>
  </si>
  <si>
    <t># OF COMMUNITY AND FESTIVAL EVENTS</t>
  </si>
  <si>
    <t>VISITOR / YR</t>
  </si>
  <si>
    <t>DAILY PARKING</t>
  </si>
  <si>
    <t>PARKING GARAGE AT 50% OCCUPANCY- 
KNOX COUNTY MULTI USE STADIUM TAX REVENUE AND ECONOMIC IMPACT ANALYSIS - TO USE PROJECT CONNECTION</t>
  </si>
  <si>
    <t>STADIUM - BIKE AND RECREATION TRIPS</t>
  </si>
  <si>
    <t>STADIUM - BIKE COMMUTER TRIPS</t>
  </si>
  <si>
    <t>RESIDENTAL WALKING COMMUTER</t>
  </si>
  <si>
    <t>RESIDENTAL BIKE</t>
  </si>
  <si>
    <t xml:space="preserve">VENUE - WALKING </t>
  </si>
  <si>
    <t>VENUE - BIKE</t>
  </si>
  <si>
    <t xml:space="preserve">RESIDENTAL WALKING </t>
  </si>
  <si>
    <t>RESIDENTIAL BIKE COMMUTERS - STADIUM DEVELOPMENT</t>
  </si>
  <si>
    <t>NCHRP 552 - Measuring and Forecasting Demand - "Guidelines for Analysis of Investments in Bicycle Facilities" 2006</t>
  </si>
  <si>
    <t>Linear decline in value of service life</t>
  </si>
  <si>
    <t>SPENDING SUMMARY</t>
  </si>
  <si>
    <t>PREVIOUSLY  INCURRED SPENDING</t>
  </si>
  <si>
    <t>FUTURE PROJECT SPENDING</t>
  </si>
  <si>
    <t>PREVIOUSLY INCURRED AMOUNT</t>
  </si>
  <si>
    <t>Ped &amp; Bike Recreation - Stadium</t>
  </si>
  <si>
    <t>Ped &amp; Bike Recreation - Urban Wilderness</t>
  </si>
  <si>
    <t>Ped &amp; Bike Recreation</t>
  </si>
  <si>
    <t>Bike Commuter General</t>
  </si>
  <si>
    <t>Crash Reduction Benefit
BUILD VS NO BUILD</t>
  </si>
  <si>
    <t>Crash Cost 
BUILD</t>
  </si>
  <si>
    <t>OPERATIONAL - RESIDUAL BENEFIT</t>
  </si>
  <si>
    <t>SAFETY BENEFIT - CRASH REDUCTION WITH BUILD CONDITIONS</t>
  </si>
  <si>
    <t>SAFETY BENEFIT - CRASH RATE WITH NO BUILD CONDITIONS</t>
  </si>
  <si>
    <t>Crash Cost 
NO BUILD</t>
  </si>
  <si>
    <t>POPULATION 400M AREA</t>
  </si>
  <si>
    <t>INCLUDES 200M AREA</t>
  </si>
  <si>
    <t>INCLUDES 200M AREA POPULATION</t>
  </si>
  <si>
    <t>PER 1,000 POP / WITHIN 200M OF PROJECT</t>
  </si>
  <si>
    <t>POPULATION 200M DISTANCE</t>
  </si>
  <si>
    <t>Ped &amp; Bike Activity - Mortality Reduction</t>
  </si>
  <si>
    <t>CONSTRUCTION ENGINEERING</t>
  </si>
  <si>
    <t>CONSTRUCTION 
ONLY</t>
  </si>
  <si>
    <t>2022 DESIGN</t>
  </si>
  <si>
    <t>2024 DESIGN</t>
  </si>
  <si>
    <t>2024 CONST</t>
  </si>
  <si>
    <t>2024  ROW</t>
  </si>
  <si>
    <t>2025 CONST</t>
  </si>
  <si>
    <t>2026 CONST</t>
  </si>
  <si>
    <t>2023 CONST</t>
  </si>
  <si>
    <t>PROJECT SUMMARY PROJECT TOTAL</t>
  </si>
  <si>
    <t>NEPA &amp; 
DESIGN</t>
  </si>
  <si>
    <t>ROW &amp; 
UTILITY</t>
  </si>
  <si>
    <t>ROW &amp; UTILITY</t>
  </si>
  <si>
    <t>CONSTRUCTION 
CONTINGENCY</t>
  </si>
  <si>
    <t>CONSTRUCTION &amp; CEI</t>
  </si>
  <si>
    <t>BC</t>
  </si>
  <si>
    <t>Inf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</si>
</sst>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00"/>
    <numFmt numFmtId="166" formatCode="0.0"/>
    <numFmt numFmtId="167" formatCode="&quot;$&quot;#,##0.0"/>
    <numFmt numFmtId="168" formatCode="&quot;$&quot;#,##0.00"/>
    <numFmt numFmtId="169" formatCode="&quot;$&quot;#,##0"/>
    <numFmt numFmtId="170" formatCode="#,##0.0"/>
    <numFmt numFmtId="171" formatCode="_(* #,##0_);_(* \(#,##0\);_(* &quot;-&quot;??_);_(@_)"/>
    <numFmt numFmtId="172" formatCode="0.0%"/>
    <numFmt numFmtId="173" formatCode="0.000_);\(0.000\)"/>
    <numFmt numFmtId="174" formatCode="&quot;$&quot;#,##0.0_);\(&quot;$&quot;#,##0.0\)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"/>
      <family val="2"/>
    </font>
    <font>
      <u/>
      <sz val="8"/>
      <color theme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rgb="FF54D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99C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theme="0" tint="-0.14999847407452621"/>
      </patternFill>
    </fill>
  </fills>
  <borders count="20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auto="1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thick">
        <color auto="1"/>
      </right>
      <top/>
      <bottom style="medium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dashed">
        <color auto="1"/>
      </right>
      <top/>
      <bottom style="medium">
        <color auto="1"/>
      </bottom>
      <diagonal/>
    </border>
    <border>
      <left style="thick">
        <color indexed="64"/>
      </left>
      <right style="dashed">
        <color auto="1"/>
      </right>
      <top/>
      <bottom/>
      <diagonal/>
    </border>
    <border>
      <left style="dashed">
        <color auto="1"/>
      </left>
      <right style="thick">
        <color indexed="64"/>
      </right>
      <top/>
      <bottom/>
      <diagonal/>
    </border>
    <border>
      <left style="thick">
        <color indexed="64"/>
      </left>
      <right style="dashed">
        <color auto="1"/>
      </right>
      <top/>
      <bottom style="thick">
        <color indexed="64"/>
      </bottom>
      <diagonal/>
    </border>
    <border>
      <left style="dashed">
        <color auto="1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thick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dashed">
        <color indexed="64"/>
      </right>
      <top style="medium">
        <color indexed="64"/>
      </top>
      <bottom style="thick">
        <color indexed="64"/>
      </bottom>
      <diagonal/>
    </border>
    <border>
      <left style="dashed">
        <color auto="1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auto="1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auto="1"/>
      </right>
      <top style="double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medium">
        <color indexed="64"/>
      </top>
      <bottom style="double">
        <color auto="1"/>
      </bottom>
      <diagonal/>
    </border>
    <border>
      <left style="thick">
        <color indexed="64"/>
      </left>
      <right/>
      <top style="medium">
        <color indexed="64"/>
      </top>
      <bottom style="double">
        <color auto="1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/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medium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auto="1"/>
      </right>
      <top style="dashed">
        <color auto="1"/>
      </top>
      <bottom style="medium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indexed="64"/>
      </right>
      <top style="dashed">
        <color auto="1"/>
      </top>
      <bottom style="dashed">
        <color auto="1"/>
      </bottom>
      <diagonal/>
    </border>
    <border>
      <left style="thick">
        <color indexed="64"/>
      </left>
      <right style="thin">
        <color auto="1"/>
      </right>
      <top style="dashed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 style="dashed">
        <color auto="1"/>
      </top>
      <bottom style="thick">
        <color indexed="64"/>
      </bottom>
      <diagonal/>
    </border>
    <border>
      <left style="thin">
        <color auto="1"/>
      </left>
      <right style="thick">
        <color indexed="64"/>
      </right>
      <top/>
      <bottom style="dashed">
        <color auto="1"/>
      </bottom>
      <diagonal/>
    </border>
    <border>
      <left style="thick">
        <color indexed="64"/>
      </left>
      <right style="thin">
        <color auto="1"/>
      </right>
      <top/>
      <bottom style="dashed">
        <color auto="1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dashed">
        <color auto="1"/>
      </bottom>
      <diagonal/>
    </border>
    <border>
      <left style="thin">
        <color auto="1"/>
      </left>
      <right style="thick">
        <color indexed="64"/>
      </right>
      <top style="thick">
        <color indexed="64"/>
      </top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thin">
        <color auto="1"/>
      </right>
      <top style="thick">
        <color indexed="64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/>
      <diagonal/>
    </border>
    <border>
      <left/>
      <right style="dashed">
        <color indexed="64"/>
      </right>
      <top style="thick">
        <color indexed="64"/>
      </top>
      <bottom/>
      <diagonal/>
    </border>
    <border>
      <left/>
      <right style="dashed">
        <color auto="1"/>
      </right>
      <top/>
      <bottom/>
      <diagonal/>
    </border>
    <border>
      <left style="dashed">
        <color indexed="64"/>
      </left>
      <right/>
      <top style="thick">
        <color indexed="64"/>
      </top>
      <bottom/>
      <diagonal/>
    </border>
    <border>
      <left style="dashed">
        <color auto="1"/>
      </left>
      <right/>
      <top/>
      <bottom/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thin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dashed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/>
      <top style="dashed">
        <color auto="1"/>
      </top>
      <bottom style="thick">
        <color auto="1"/>
      </bottom>
      <diagonal/>
    </border>
    <border>
      <left/>
      <right/>
      <top style="dashed">
        <color auto="1"/>
      </top>
      <bottom style="thick">
        <color auto="1"/>
      </bottom>
      <diagonal/>
    </border>
    <border>
      <left/>
      <right style="medium">
        <color auto="1"/>
      </right>
      <top style="dashed">
        <color auto="1"/>
      </top>
      <bottom style="thick">
        <color auto="1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auto="1"/>
      </bottom>
      <diagonal/>
    </border>
    <border>
      <left/>
      <right style="thick">
        <color indexed="64"/>
      </right>
      <top style="thick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 style="thick">
        <color indexed="64"/>
      </right>
      <top style="dashed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indexed="64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rgb="FF000000"/>
      </left>
      <right style="thin">
        <color rgb="FF000000"/>
      </right>
      <top/>
      <bottom style="dashed">
        <color rgb="FF000000"/>
      </bottom>
      <diagonal/>
    </border>
    <border>
      <left style="thin">
        <color rgb="FF000000"/>
      </left>
      <right style="thick">
        <color rgb="FF000000"/>
      </right>
      <top/>
      <bottom style="dashed">
        <color rgb="FF000000"/>
      </bottom>
      <diagonal/>
    </border>
    <border>
      <left style="thick">
        <color rgb="FF000000"/>
      </left>
      <right style="thin">
        <color rgb="FF000000"/>
      </right>
      <top style="dashed">
        <color rgb="FF000000"/>
      </top>
      <bottom style="dashed">
        <color rgb="FF000000"/>
      </bottom>
      <diagonal/>
    </border>
    <border>
      <left style="thin">
        <color rgb="FF000000"/>
      </left>
      <right style="thick">
        <color rgb="FF000000"/>
      </right>
      <top style="dashed">
        <color rgb="FF000000"/>
      </top>
      <bottom style="dashed">
        <color rgb="FF000000"/>
      </bottom>
      <diagonal/>
    </border>
    <border>
      <left style="thick">
        <color rgb="FF000000"/>
      </left>
      <right style="thin">
        <color rgb="FF000000"/>
      </right>
      <top style="dashed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dashed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indexed="64"/>
      </left>
      <right style="thin">
        <color auto="1"/>
      </right>
      <top style="medium">
        <color indexed="64"/>
      </top>
      <bottom style="dashed">
        <color auto="1"/>
      </bottom>
      <diagonal/>
    </border>
    <border>
      <left style="thin">
        <color auto="1"/>
      </left>
      <right style="thick">
        <color indexed="64"/>
      </right>
      <top style="medium">
        <color indexed="64"/>
      </top>
      <bottom style="dashed">
        <color auto="1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thick">
        <color indexed="64"/>
      </right>
      <top/>
      <bottom style="dashed">
        <color indexed="64"/>
      </bottom>
      <diagonal/>
    </border>
    <border>
      <left style="thick">
        <color theme="1"/>
      </left>
      <right style="thin">
        <color theme="1"/>
      </right>
      <top style="thick">
        <color theme="1"/>
      </top>
      <bottom style="dashed">
        <color theme="1"/>
      </bottom>
      <diagonal/>
    </border>
    <border>
      <left style="thin">
        <color theme="1"/>
      </left>
      <right style="thin">
        <color theme="1"/>
      </right>
      <top style="thick">
        <color theme="1"/>
      </top>
      <bottom style="dashed">
        <color theme="1"/>
      </bottom>
      <diagonal/>
    </border>
    <border>
      <left style="thick">
        <color theme="1"/>
      </left>
      <right style="thin">
        <color theme="1"/>
      </right>
      <top style="dashed">
        <color theme="1"/>
      </top>
      <bottom style="dashed">
        <color theme="1"/>
      </bottom>
      <diagonal/>
    </border>
    <border>
      <left style="thin">
        <color theme="1"/>
      </left>
      <right style="thin">
        <color theme="1"/>
      </right>
      <top style="dashed">
        <color theme="1"/>
      </top>
      <bottom style="dashed">
        <color theme="1"/>
      </bottom>
      <diagonal/>
    </border>
    <border>
      <left style="thin">
        <color theme="1"/>
      </left>
      <right style="thick">
        <color theme="1"/>
      </right>
      <top style="dashed">
        <color theme="1"/>
      </top>
      <bottom style="dashed">
        <color theme="1"/>
      </bottom>
      <diagonal/>
    </border>
    <border>
      <left style="thick">
        <color theme="1"/>
      </left>
      <right style="thin">
        <color theme="1"/>
      </right>
      <top style="dashed">
        <color theme="1"/>
      </top>
      <bottom style="thick">
        <color theme="1"/>
      </bottom>
      <diagonal/>
    </border>
    <border>
      <left style="thin">
        <color theme="1"/>
      </left>
      <right style="thin">
        <color theme="1"/>
      </right>
      <top style="dashed">
        <color theme="1"/>
      </top>
      <bottom style="thick">
        <color theme="1"/>
      </bottom>
      <diagonal/>
    </border>
    <border>
      <left style="thin">
        <color theme="1"/>
      </left>
      <right style="thick">
        <color theme="1"/>
      </right>
      <top style="dashed">
        <color theme="1"/>
      </top>
      <bottom style="thick">
        <color theme="1"/>
      </bottom>
      <diagonal/>
    </border>
    <border>
      <left style="thick">
        <color theme="1"/>
      </left>
      <right style="thin">
        <color theme="1"/>
      </right>
      <top/>
      <bottom style="dashed">
        <color theme="1"/>
      </bottom>
      <diagonal/>
    </border>
    <border>
      <left style="thin">
        <color theme="1"/>
      </left>
      <right style="thin">
        <color theme="1"/>
      </right>
      <top/>
      <bottom style="dashed">
        <color theme="1"/>
      </bottom>
      <diagonal/>
    </border>
    <border>
      <left style="thin">
        <color theme="1"/>
      </left>
      <right style="thick">
        <color theme="1"/>
      </right>
      <top/>
      <bottom style="dashed">
        <color theme="1"/>
      </bottom>
      <diagonal/>
    </border>
    <border>
      <left style="thin">
        <color theme="1"/>
      </left>
      <right/>
      <top style="thick">
        <color theme="1"/>
      </top>
      <bottom style="dashed">
        <color theme="1"/>
      </bottom>
      <diagonal/>
    </border>
    <border>
      <left/>
      <right style="thick">
        <color theme="1"/>
      </right>
      <top style="thick">
        <color theme="1"/>
      </top>
      <bottom style="dashed">
        <color theme="1"/>
      </bottom>
      <diagonal/>
    </border>
    <border>
      <left/>
      <right/>
      <top style="thick">
        <color rgb="FF000000"/>
      </top>
      <bottom/>
      <diagonal/>
    </border>
  </borders>
  <cellStyleXfs count="8">
    <xf numFmtId="0" fontId="0" fillId="0" borderId="0"/>
    <xf numFmtId="0" fontId="3" fillId="0" borderId="0" applyNumberFormat="0" applyFill="0" applyBorder="0" applyAlignment="0" applyProtection="0"/>
    <xf numFmtId="0" fontId="7" fillId="5" borderId="0" applyNumberFormat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6" fillId="18" borderId="0" applyNumberFormat="0" applyBorder="0" applyAlignment="0" applyProtection="0"/>
    <xf numFmtId="0" fontId="27" fillId="19" borderId="0" applyNumberFormat="0" applyBorder="0" applyAlignment="0" applyProtection="0"/>
  </cellStyleXfs>
  <cellXfs count="99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/>
    <xf numFmtId="0" fontId="0" fillId="0" borderId="1" xfId="0" applyBorder="1"/>
    <xf numFmtId="0" fontId="1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3" fillId="0" borderId="0" xfId="1"/>
    <xf numFmtId="0" fontId="0" fillId="0" borderId="0" xfId="0" applyAlignment="1">
      <alignment horizontal="center" vertical="center" wrapText="1"/>
    </xf>
    <xf numFmtId="44" fontId="0" fillId="0" borderId="0" xfId="0" applyNumberFormat="1"/>
    <xf numFmtId="0" fontId="9" fillId="0" borderId="0" xfId="0" applyFont="1"/>
    <xf numFmtId="0" fontId="10" fillId="0" borderId="0" xfId="0" applyFont="1"/>
    <xf numFmtId="0" fontId="0" fillId="0" borderId="1" xfId="0" applyBorder="1" applyAlignment="1">
      <alignment horizontal="center" vertical="center"/>
    </xf>
    <xf numFmtId="0" fontId="0" fillId="0" borderId="0" xfId="0" applyFill="1" applyBorder="1"/>
    <xf numFmtId="42" fontId="4" fillId="0" borderId="1" xfId="0" applyNumberFormat="1" applyFont="1" applyBorder="1"/>
    <xf numFmtId="0" fontId="0" fillId="0" borderId="1" xfId="0" applyFill="1" applyBorder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2" fontId="0" fillId="0" borderId="1" xfId="0" applyNumberFormat="1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0" xfId="0" applyNumberFormat="1" applyFont="1"/>
    <xf numFmtId="44" fontId="4" fillId="0" borderId="0" xfId="0" applyNumberFormat="1" applyFont="1"/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center" vertical="center"/>
    </xf>
    <xf numFmtId="169" fontId="4" fillId="0" borderId="1" xfId="0" applyNumberFormat="1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/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9" fontId="0" fillId="0" borderId="0" xfId="0" applyNumberFormat="1"/>
    <xf numFmtId="3" fontId="0" fillId="0" borderId="0" xfId="0" applyNumberFormat="1" applyFill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3" fontId="0" fillId="0" borderId="17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/>
    <xf numFmtId="0" fontId="0" fillId="0" borderId="29" xfId="0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" fontId="0" fillId="0" borderId="0" xfId="0" applyNumberFormat="1" applyAlignment="1">
      <alignment horizontal="center" vertical="center"/>
    </xf>
    <xf numFmtId="4" fontId="0" fillId="0" borderId="29" xfId="0" applyNumberForma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0" fontId="0" fillId="0" borderId="0" xfId="0" applyBorder="1" applyAlignment="1">
      <alignment horizontal="center" vertical="center"/>
    </xf>
    <xf numFmtId="0" fontId="1" fillId="10" borderId="26" xfId="0" applyFont="1" applyFill="1" applyBorder="1" applyAlignment="1">
      <alignment horizontal="center"/>
    </xf>
    <xf numFmtId="0" fontId="1" fillId="0" borderId="36" xfId="0" applyFont="1" applyBorder="1" applyAlignment="1">
      <alignment horizontal="center" vertical="center"/>
    </xf>
    <xf numFmtId="4" fontId="1" fillId="0" borderId="34" xfId="0" applyNumberFormat="1" applyFont="1" applyBorder="1" applyAlignment="1">
      <alignment horizontal="center" vertical="center"/>
    </xf>
    <xf numFmtId="3" fontId="0" fillId="0" borderId="37" xfId="0" applyNumberFormat="1" applyBorder="1" applyAlignment="1">
      <alignment horizontal="center" vertical="center"/>
    </xf>
    <xf numFmtId="0" fontId="0" fillId="0" borderId="38" xfId="0" applyBorder="1" applyAlignment="1">
      <alignment horizontal="center"/>
    </xf>
    <xf numFmtId="3" fontId="0" fillId="0" borderId="39" xfId="0" applyNumberFormat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3" fontId="1" fillId="0" borderId="43" xfId="0" applyNumberFormat="1" applyFont="1" applyBorder="1" applyAlignment="1">
      <alignment horizontal="center" vertical="center"/>
    </xf>
    <xf numFmtId="3" fontId="1" fillId="0" borderId="44" xfId="0" applyNumberFormat="1" applyFont="1" applyBorder="1" applyAlignment="1">
      <alignment horizontal="center" vertical="center"/>
    </xf>
    <xf numFmtId="10" fontId="18" fillId="11" borderId="37" xfId="4" applyNumberFormat="1" applyFont="1" applyFill="1" applyBorder="1" applyAlignment="1">
      <alignment horizontal="center"/>
    </xf>
    <xf numFmtId="10" fontId="18" fillId="11" borderId="38" xfId="4" applyNumberFormat="1" applyFont="1" applyFill="1" applyBorder="1" applyAlignment="1">
      <alignment horizontal="center"/>
    </xf>
    <xf numFmtId="10" fontId="18" fillId="11" borderId="39" xfId="4" applyNumberFormat="1" applyFont="1" applyFill="1" applyBorder="1" applyAlignment="1">
      <alignment horizontal="center"/>
    </xf>
    <xf numFmtId="10" fontId="18" fillId="11" borderId="40" xfId="4" applyNumberFormat="1" applyFont="1" applyFill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0" fontId="0" fillId="0" borderId="10" xfId="0" applyNumberFormat="1" applyFill="1" applyBorder="1" applyAlignment="1">
      <alignment horizontal="center"/>
    </xf>
    <xf numFmtId="0" fontId="0" fillId="0" borderId="20" xfId="0" applyNumberFormat="1" applyFill="1" applyBorder="1" applyAlignment="1">
      <alignment horizontal="center"/>
    </xf>
    <xf numFmtId="0" fontId="0" fillId="0" borderId="17" xfId="0" applyNumberFormat="1" applyFill="1" applyBorder="1" applyAlignment="1">
      <alignment horizontal="center"/>
    </xf>
    <xf numFmtId="0" fontId="0" fillId="0" borderId="21" xfId="0" applyNumberFormat="1" applyFill="1" applyBorder="1" applyAlignment="1">
      <alignment horizontal="center"/>
    </xf>
    <xf numFmtId="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4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horizontal="center" vertical="center"/>
    </xf>
    <xf numFmtId="10" fontId="0" fillId="0" borderId="0" xfId="4" applyNumberFormat="1" applyFont="1" applyAlignment="1">
      <alignment horizontal="center" vertical="center"/>
    </xf>
    <xf numFmtId="4" fontId="1" fillId="8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left" vertical="center"/>
    </xf>
    <xf numFmtId="3" fontId="0" fillId="0" borderId="0" xfId="0" applyNumberFormat="1" applyFill="1" applyBorder="1" applyAlignment="1">
      <alignment horizontal="center" vertical="center"/>
    </xf>
    <xf numFmtId="10" fontId="0" fillId="0" borderId="0" xfId="4" applyNumberFormat="1" applyFont="1" applyFill="1" applyBorder="1" applyAlignment="1">
      <alignment horizontal="center" vertical="center"/>
    </xf>
    <xf numFmtId="4" fontId="1" fillId="0" borderId="18" xfId="0" applyNumberFormat="1" applyFont="1" applyBorder="1" applyAlignment="1">
      <alignment horizontal="center" vertical="center"/>
    </xf>
    <xf numFmtId="9" fontId="0" fillId="11" borderId="46" xfId="4" applyFont="1" applyFill="1" applyBorder="1" applyAlignment="1">
      <alignment horizontal="center" vertical="center"/>
    </xf>
    <xf numFmtId="3" fontId="1" fillId="8" borderId="48" xfId="0" applyNumberFormat="1" applyFont="1" applyFill="1" applyBorder="1" applyAlignment="1">
      <alignment horizontal="center" vertical="center"/>
    </xf>
    <xf numFmtId="3" fontId="1" fillId="8" borderId="46" xfId="0" applyNumberFormat="1" applyFont="1" applyFill="1" applyBorder="1" applyAlignment="1">
      <alignment horizontal="center" vertical="center"/>
    </xf>
    <xf numFmtId="3" fontId="19" fillId="0" borderId="47" xfId="0" applyNumberFormat="1" applyFont="1" applyFill="1" applyBorder="1" applyAlignment="1">
      <alignment horizontal="left" vertical="center"/>
    </xf>
    <xf numFmtId="3" fontId="0" fillId="0" borderId="50" xfId="0" applyNumberFormat="1" applyFill="1" applyBorder="1" applyAlignment="1">
      <alignment horizontal="center" vertical="center"/>
    </xf>
    <xf numFmtId="3" fontId="0" fillId="0" borderId="52" xfId="0" applyNumberFormat="1" applyFill="1" applyBorder="1" applyAlignment="1">
      <alignment horizontal="center" vertical="center"/>
    </xf>
    <xf numFmtId="3" fontId="19" fillId="0" borderId="51" xfId="0" applyNumberFormat="1" applyFont="1" applyFill="1" applyBorder="1" applyAlignment="1">
      <alignment horizontal="left" vertical="center"/>
    </xf>
    <xf numFmtId="165" fontId="0" fillId="0" borderId="0" xfId="0" applyNumberFormat="1" applyAlignment="1">
      <alignment horizontal="left" vertical="center"/>
    </xf>
    <xf numFmtId="0" fontId="0" fillId="0" borderId="9" xfId="0" applyNumberFormat="1" applyFill="1" applyBorder="1" applyAlignment="1">
      <alignment horizontal="center"/>
    </xf>
    <xf numFmtId="3" fontId="0" fillId="0" borderId="35" xfId="0" applyNumberFormat="1" applyBorder="1" applyAlignment="1">
      <alignment horizontal="center" vertical="center"/>
    </xf>
    <xf numFmtId="3" fontId="0" fillId="0" borderId="30" xfId="0" applyNumberFormat="1" applyBorder="1" applyAlignment="1">
      <alignment horizontal="center" vertical="center"/>
    </xf>
    <xf numFmtId="3" fontId="0" fillId="0" borderId="54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3" fontId="0" fillId="0" borderId="30" xfId="0" applyNumberFormat="1" applyFill="1" applyBorder="1" applyAlignment="1">
      <alignment horizontal="center"/>
    </xf>
    <xf numFmtId="3" fontId="0" fillId="0" borderId="35" xfId="0" applyNumberFormat="1" applyFill="1" applyBorder="1" applyAlignment="1">
      <alignment horizontal="center"/>
    </xf>
    <xf numFmtId="0" fontId="0" fillId="0" borderId="14" xfId="0" applyBorder="1" applyAlignment="1">
      <alignment horizontal="right"/>
    </xf>
    <xf numFmtId="0" fontId="4" fillId="0" borderId="14" xfId="0" applyFont="1" applyBorder="1" applyAlignment="1">
      <alignment horizontal="right"/>
    </xf>
    <xf numFmtId="3" fontId="0" fillId="0" borderId="57" xfId="0" applyNumberFormat="1" applyBorder="1" applyAlignment="1">
      <alignment horizontal="center" vertical="center"/>
    </xf>
    <xf numFmtId="0" fontId="0" fillId="0" borderId="35" xfId="0" applyBorder="1" applyAlignment="1">
      <alignment horizontal="right"/>
    </xf>
    <xf numFmtId="4" fontId="0" fillId="0" borderId="18" xfId="0" applyNumberForma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12" borderId="31" xfId="0" applyFill="1" applyBorder="1" applyAlignment="1">
      <alignment horizontal="center"/>
    </xf>
    <xf numFmtId="0" fontId="18" fillId="0" borderId="54" xfId="0" applyFont="1" applyBorder="1" applyAlignment="1">
      <alignment horizontal="right"/>
    </xf>
    <xf numFmtId="37" fontId="18" fillId="0" borderId="54" xfId="3" applyNumberFormat="1" applyFont="1" applyBorder="1" applyAlignment="1">
      <alignment horizontal="right"/>
    </xf>
    <xf numFmtId="3" fontId="1" fillId="10" borderId="31" xfId="0" applyNumberFormat="1" applyFont="1" applyFill="1" applyBorder="1" applyAlignment="1">
      <alignment horizontal="center"/>
    </xf>
    <xf numFmtId="3" fontId="1" fillId="10" borderId="53" xfId="0" applyNumberFormat="1" applyFont="1" applyFill="1" applyBorder="1" applyAlignment="1">
      <alignment horizontal="center"/>
    </xf>
    <xf numFmtId="0" fontId="1" fillId="10" borderId="28" xfId="0" applyFont="1" applyFill="1" applyBorder="1" applyAlignment="1">
      <alignment horizontal="center"/>
    </xf>
    <xf numFmtId="3" fontId="1" fillId="10" borderId="15" xfId="0" applyNumberFormat="1" applyFont="1" applyFill="1" applyBorder="1" applyAlignment="1">
      <alignment horizontal="center"/>
    </xf>
    <xf numFmtId="3" fontId="1" fillId="10" borderId="24" xfId="0" applyNumberFormat="1" applyFont="1" applyFill="1" applyBorder="1" applyAlignment="1">
      <alignment horizontal="center"/>
    </xf>
    <xf numFmtId="3" fontId="1" fillId="10" borderId="23" xfId="0" applyNumberFormat="1" applyFont="1" applyFill="1" applyBorder="1" applyAlignment="1">
      <alignment horizontal="center"/>
    </xf>
    <xf numFmtId="3" fontId="1" fillId="10" borderId="55" xfId="0" applyNumberFormat="1" applyFont="1" applyFill="1" applyBorder="1" applyAlignment="1">
      <alignment horizontal="center"/>
    </xf>
    <xf numFmtId="3" fontId="1" fillId="10" borderId="56" xfId="0" applyNumberFormat="1" applyFont="1" applyFill="1" applyBorder="1" applyAlignment="1">
      <alignment horizontal="center"/>
    </xf>
    <xf numFmtId="0" fontId="0" fillId="0" borderId="45" xfId="0" applyBorder="1" applyAlignment="1">
      <alignment horizontal="right" vertical="center"/>
    </xf>
    <xf numFmtId="0" fontId="4" fillId="0" borderId="54" xfId="0" applyFont="1" applyBorder="1" applyAlignment="1">
      <alignment horizontal="right"/>
    </xf>
    <xf numFmtId="3" fontId="18" fillId="0" borderId="11" xfId="0" applyNumberFormat="1" applyFont="1" applyBorder="1" applyAlignment="1">
      <alignment horizontal="center"/>
    </xf>
    <xf numFmtId="3" fontId="18" fillId="0" borderId="16" xfId="0" applyNumberFormat="1" applyFont="1" applyFill="1" applyBorder="1" applyAlignment="1">
      <alignment horizontal="center"/>
    </xf>
    <xf numFmtId="3" fontId="18" fillId="0" borderId="10" xfId="0" applyNumberFormat="1" applyFont="1" applyFill="1" applyBorder="1" applyAlignment="1">
      <alignment horizontal="center"/>
    </xf>
    <xf numFmtId="3" fontId="18" fillId="0" borderId="17" xfId="0" applyNumberFormat="1" applyFont="1" applyFill="1" applyBorder="1" applyAlignment="1">
      <alignment horizontal="center"/>
    </xf>
    <xf numFmtId="0" fontId="18" fillId="0" borderId="0" xfId="0" applyFont="1"/>
    <xf numFmtId="37" fontId="18" fillId="0" borderId="16" xfId="3" applyNumberFormat="1" applyFont="1" applyFill="1" applyBorder="1" applyAlignment="1">
      <alignment horizontal="center"/>
    </xf>
    <xf numFmtId="37" fontId="18" fillId="0" borderId="10" xfId="3" applyNumberFormat="1" applyFont="1" applyFill="1" applyBorder="1" applyAlignment="1">
      <alignment horizontal="center"/>
    </xf>
    <xf numFmtId="37" fontId="18" fillId="0" borderId="17" xfId="3" applyNumberFormat="1" applyFont="1" applyFill="1" applyBorder="1" applyAlignment="1">
      <alignment horizontal="center"/>
    </xf>
    <xf numFmtId="37" fontId="18" fillId="0" borderId="0" xfId="3" applyNumberFormat="1" applyFont="1"/>
    <xf numFmtId="3" fontId="1" fillId="10" borderId="25" xfId="0" applyNumberFormat="1" applyFont="1" applyFill="1" applyBorder="1" applyAlignment="1">
      <alignment horizontal="center"/>
    </xf>
    <xf numFmtId="3" fontId="1" fillId="10" borderId="22" xfId="0" applyNumberFormat="1" applyFont="1" applyFill="1" applyBorder="1" applyAlignment="1">
      <alignment horizontal="center"/>
    </xf>
    <xf numFmtId="0" fontId="5" fillId="8" borderId="26" xfId="0" applyFont="1" applyFill="1" applyBorder="1" applyAlignment="1">
      <alignment horizontal="center"/>
    </xf>
    <xf numFmtId="0" fontId="5" fillId="8" borderId="23" xfId="0" applyFont="1" applyFill="1" applyBorder="1" applyAlignment="1">
      <alignment horizontal="center"/>
    </xf>
    <xf numFmtId="171" fontId="0" fillId="0" borderId="0" xfId="3" applyNumberFormat="1" applyFont="1" applyAlignment="1"/>
    <xf numFmtId="171" fontId="0" fillId="0" borderId="0" xfId="3" applyNumberFormat="1" applyFont="1"/>
    <xf numFmtId="166" fontId="4" fillId="0" borderId="1" xfId="0" applyNumberFormat="1" applyFont="1" applyBorder="1" applyAlignment="1">
      <alignment horizontal="center" vertical="center"/>
    </xf>
    <xf numFmtId="9" fontId="0" fillId="0" borderId="68" xfId="4" applyFont="1" applyBorder="1" applyAlignment="1">
      <alignment horizontal="center" vertical="center"/>
    </xf>
    <xf numFmtId="0" fontId="0" fillId="0" borderId="69" xfId="0" applyBorder="1" applyAlignment="1">
      <alignment horizontal="left"/>
    </xf>
    <xf numFmtId="0" fontId="0" fillId="0" borderId="70" xfId="0" applyBorder="1" applyAlignment="1">
      <alignment horizontal="center"/>
    </xf>
    <xf numFmtId="0" fontId="0" fillId="0" borderId="70" xfId="0" applyBorder="1" applyAlignment="1">
      <alignment horizontal="left"/>
    </xf>
    <xf numFmtId="0" fontId="1" fillId="2" borderId="7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0" fillId="0" borderId="76" xfId="0" applyBorder="1" applyAlignment="1">
      <alignment horizontal="center" vertical="center"/>
    </xf>
    <xf numFmtId="169" fontId="4" fillId="0" borderId="77" xfId="0" applyNumberFormat="1" applyFont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166" fontId="4" fillId="0" borderId="79" xfId="0" applyNumberFormat="1" applyFont="1" applyBorder="1" applyAlignment="1">
      <alignment horizontal="center" vertical="center"/>
    </xf>
    <xf numFmtId="3" fontId="4" fillId="0" borderId="79" xfId="0" applyNumberFormat="1" applyFont="1" applyBorder="1" applyAlignment="1">
      <alignment horizontal="center" vertical="center"/>
    </xf>
    <xf numFmtId="4" fontId="4" fillId="0" borderId="79" xfId="0" applyNumberFormat="1" applyFont="1" applyBorder="1" applyAlignment="1">
      <alignment horizontal="center" vertical="center"/>
    </xf>
    <xf numFmtId="169" fontId="4" fillId="0" borderId="79" xfId="0" applyNumberFormat="1" applyFont="1" applyBorder="1" applyAlignment="1">
      <alignment horizontal="center" vertical="center"/>
    </xf>
    <xf numFmtId="0" fontId="0" fillId="0" borderId="79" xfId="0" applyBorder="1" applyAlignment="1">
      <alignment horizontal="center"/>
    </xf>
    <xf numFmtId="169" fontId="4" fillId="0" borderId="80" xfId="0" applyNumberFormat="1" applyFont="1" applyBorder="1" applyAlignment="1">
      <alignment horizontal="center" vertical="center"/>
    </xf>
    <xf numFmtId="0" fontId="1" fillId="0" borderId="81" xfId="0" applyFont="1" applyBorder="1" applyAlignment="1">
      <alignment horizontal="center"/>
    </xf>
    <xf numFmtId="169" fontId="20" fillId="0" borderId="82" xfId="0" applyNumberFormat="1" applyFont="1" applyBorder="1"/>
    <xf numFmtId="0" fontId="20" fillId="0" borderId="82" xfId="0" applyFont="1" applyBorder="1"/>
    <xf numFmtId="0" fontId="21" fillId="0" borderId="0" xfId="0" applyFont="1" applyAlignment="1">
      <alignment horizontal="left" vertical="center"/>
    </xf>
    <xf numFmtId="3" fontId="1" fillId="8" borderId="0" xfId="0" applyNumberFormat="1" applyFont="1" applyFill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4" fontId="1" fillId="0" borderId="85" xfId="0" applyNumberFormat="1" applyFont="1" applyBorder="1" applyAlignment="1">
      <alignment horizontal="center" vertical="center"/>
    </xf>
    <xf numFmtId="10" fontId="0" fillId="11" borderId="84" xfId="4" applyNumberFormat="1" applyFont="1" applyFill="1" applyBorder="1" applyAlignment="1">
      <alignment horizontal="center" vertical="center"/>
    </xf>
    <xf numFmtId="10" fontId="0" fillId="11" borderId="46" xfId="4" applyNumberFormat="1" applyFont="1" applyFill="1" applyBorder="1" applyAlignment="1">
      <alignment horizontal="center" vertical="center"/>
    </xf>
    <xf numFmtId="10" fontId="0" fillId="0" borderId="0" xfId="4" applyNumberFormat="1" applyFont="1" applyFill="1" applyBorder="1" applyAlignment="1">
      <alignment horizontal="left" vertical="center"/>
    </xf>
    <xf numFmtId="4" fontId="1" fillId="0" borderId="48" xfId="0" applyNumberFormat="1" applyFont="1" applyBorder="1" applyAlignment="1">
      <alignment horizontal="center" vertical="center"/>
    </xf>
    <xf numFmtId="172" fontId="0" fillId="11" borderId="46" xfId="4" applyNumberFormat="1" applyFont="1" applyFill="1" applyBorder="1" applyAlignment="1">
      <alignment horizontal="center" vertical="center"/>
    </xf>
    <xf numFmtId="3" fontId="0" fillId="11" borderId="13" xfId="0" applyNumberFormat="1" applyFill="1" applyBorder="1" applyAlignment="1">
      <alignment horizontal="center" vertical="center"/>
    </xf>
    <xf numFmtId="3" fontId="0" fillId="11" borderId="86" xfId="0" applyNumberFormat="1" applyFill="1" applyBorder="1" applyAlignment="1">
      <alignment horizontal="center" vertical="center"/>
    </xf>
    <xf numFmtId="3" fontId="0" fillId="11" borderId="52" xfId="0" applyNumberFormat="1" applyFill="1" applyBorder="1" applyAlignment="1">
      <alignment horizontal="center" vertical="center"/>
    </xf>
    <xf numFmtId="3" fontId="19" fillId="0" borderId="47" xfId="0" applyNumberFormat="1" applyFont="1" applyFill="1" applyBorder="1" applyAlignment="1">
      <alignment horizontal="center" vertical="center"/>
    </xf>
    <xf numFmtId="3" fontId="19" fillId="0" borderId="87" xfId="0" applyNumberFormat="1" applyFont="1" applyFill="1" applyBorder="1" applyAlignment="1">
      <alignment horizontal="center" vertical="center"/>
    </xf>
    <xf numFmtId="3" fontId="19" fillId="0" borderId="49" xfId="0" applyNumberFormat="1" applyFont="1" applyFill="1" applyBorder="1" applyAlignment="1">
      <alignment horizontal="center" vertical="center"/>
    </xf>
    <xf numFmtId="165" fontId="0" fillId="10" borderId="27" xfId="0" applyNumberFormat="1" applyFill="1" applyBorder="1" applyAlignment="1">
      <alignment horizontal="center" vertical="center"/>
    </xf>
    <xf numFmtId="165" fontId="0" fillId="10" borderId="23" xfId="0" applyNumberFormat="1" applyFill="1" applyBorder="1" applyAlignment="1">
      <alignment horizontal="center" vertical="center"/>
    </xf>
    <xf numFmtId="165" fontId="0" fillId="0" borderId="89" xfId="0" applyNumberFormat="1" applyBorder="1" applyAlignment="1">
      <alignment horizontal="center" vertical="center"/>
    </xf>
    <xf numFmtId="165" fontId="0" fillId="0" borderId="44" xfId="0" applyNumberFormat="1" applyBorder="1" applyAlignment="1">
      <alignment horizontal="center" vertical="center"/>
    </xf>
    <xf numFmtId="165" fontId="0" fillId="0" borderId="90" xfId="0" applyNumberFormat="1" applyBorder="1" applyAlignment="1">
      <alignment horizontal="center" vertical="center"/>
    </xf>
    <xf numFmtId="165" fontId="0" fillId="10" borderId="31" xfId="0" applyNumberFormat="1" applyFill="1" applyBorder="1" applyAlignment="1">
      <alignment horizontal="center" vertical="center"/>
    </xf>
    <xf numFmtId="165" fontId="0" fillId="0" borderId="31" xfId="0" applyNumberFormat="1" applyBorder="1" applyAlignment="1">
      <alignment horizontal="center" vertical="center"/>
    </xf>
    <xf numFmtId="165" fontId="0" fillId="0" borderId="91" xfId="0" applyNumberFormat="1" applyBorder="1" applyAlignment="1">
      <alignment horizontal="center" vertical="center"/>
    </xf>
    <xf numFmtId="165" fontId="0" fillId="0" borderId="92" xfId="0" applyNumberFormat="1" applyBorder="1" applyAlignment="1">
      <alignment horizontal="center" vertical="center"/>
    </xf>
    <xf numFmtId="0" fontId="0" fillId="0" borderId="93" xfId="0" applyBorder="1" applyAlignment="1">
      <alignment horizontal="left"/>
    </xf>
    <xf numFmtId="1" fontId="0" fillId="0" borderId="95" xfId="4" applyNumberFormat="1" applyFont="1" applyBorder="1" applyAlignment="1">
      <alignment horizontal="center" vertical="center"/>
    </xf>
    <xf numFmtId="0" fontId="0" fillId="0" borderId="94" xfId="0" applyBorder="1" applyAlignment="1">
      <alignment horizontal="left"/>
    </xf>
    <xf numFmtId="0" fontId="0" fillId="0" borderId="66" xfId="0" applyBorder="1" applyAlignment="1">
      <alignment horizontal="left"/>
    </xf>
    <xf numFmtId="0" fontId="0" fillId="0" borderId="67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165" fontId="0" fillId="0" borderId="97" xfId="0" applyNumberFormat="1" applyBorder="1" applyAlignment="1">
      <alignment horizontal="center" vertical="center"/>
    </xf>
    <xf numFmtId="165" fontId="0" fillId="0" borderId="98" xfId="0" applyNumberFormat="1" applyBorder="1" applyAlignment="1">
      <alignment horizontal="center" vertical="center" wrapText="1"/>
    </xf>
    <xf numFmtId="9" fontId="0" fillId="0" borderId="0" xfId="4" applyFont="1" applyFill="1" applyBorder="1" applyAlignment="1">
      <alignment horizontal="center"/>
    </xf>
    <xf numFmtId="3" fontId="18" fillId="0" borderId="9" xfId="0" applyNumberFormat="1" applyFont="1" applyFill="1" applyBorder="1" applyAlignment="1">
      <alignment horizontal="center"/>
    </xf>
    <xf numFmtId="3" fontId="1" fillId="0" borderId="0" xfId="0" applyNumberFormat="1" applyFont="1" applyAlignment="1">
      <alignment horizontal="center" vertical="center"/>
    </xf>
    <xf numFmtId="0" fontId="0" fillId="10" borderId="43" xfId="0" applyFill="1" applyBorder="1" applyAlignment="1">
      <alignment horizontal="center" vertical="center" wrapText="1"/>
    </xf>
    <xf numFmtId="0" fontId="0" fillId="10" borderId="89" xfId="0" applyFill="1" applyBorder="1" applyAlignment="1">
      <alignment horizontal="center" vertical="center" wrapText="1"/>
    </xf>
    <xf numFmtId="0" fontId="0" fillId="10" borderId="44" xfId="0" applyFill="1" applyBorder="1" applyAlignment="1">
      <alignment horizontal="center" vertical="center" wrapText="1"/>
    </xf>
    <xf numFmtId="165" fontId="0" fillId="12" borderId="43" xfId="0" applyNumberFormat="1" applyFill="1" applyBorder="1" applyAlignment="1">
      <alignment horizontal="center" vertical="center"/>
    </xf>
    <xf numFmtId="165" fontId="0" fillId="12" borderId="89" xfId="0" applyNumberFormat="1" applyFill="1" applyBorder="1" applyAlignment="1">
      <alignment horizontal="center" vertical="center"/>
    </xf>
    <xf numFmtId="1" fontId="0" fillId="12" borderId="89" xfId="0" applyNumberFormat="1" applyFill="1" applyBorder="1" applyAlignment="1">
      <alignment horizontal="center" vertical="center"/>
    </xf>
    <xf numFmtId="1" fontId="0" fillId="12" borderId="44" xfId="0" applyNumberFormat="1" applyFill="1" applyBorder="1" applyAlignment="1">
      <alignment horizontal="center" vertical="center"/>
    </xf>
    <xf numFmtId="170" fontId="0" fillId="0" borderId="99" xfId="0" applyNumberFormat="1" applyBorder="1" applyAlignment="1">
      <alignment horizontal="center" vertical="center"/>
    </xf>
    <xf numFmtId="170" fontId="0" fillId="8" borderId="100" xfId="0" applyNumberFormat="1" applyFill="1" applyBorder="1" applyAlignment="1">
      <alignment horizontal="center" vertical="center"/>
    </xf>
    <xf numFmtId="170" fontId="0" fillId="0" borderId="100" xfId="0" applyNumberFormat="1" applyBorder="1" applyAlignment="1">
      <alignment horizontal="center" vertical="center"/>
    </xf>
    <xf numFmtId="170" fontId="0" fillId="0" borderId="100" xfId="0" applyNumberFormat="1" applyFill="1" applyBorder="1" applyAlignment="1">
      <alignment horizontal="center" vertical="center"/>
    </xf>
    <xf numFmtId="170" fontId="0" fillId="0" borderId="101" xfId="0" applyNumberFormat="1" applyBorder="1" applyAlignment="1">
      <alignment horizontal="center" vertical="center"/>
    </xf>
    <xf numFmtId="3" fontId="0" fillId="0" borderId="102" xfId="3" applyNumberFormat="1" applyFont="1" applyBorder="1" applyAlignment="1">
      <alignment horizontal="center" vertical="center"/>
    </xf>
    <xf numFmtId="3" fontId="0" fillId="0" borderId="20" xfId="3" applyNumberFormat="1" applyFont="1" applyBorder="1" applyAlignment="1">
      <alignment horizontal="center" vertical="center"/>
    </xf>
    <xf numFmtId="3" fontId="0" fillId="0" borderId="21" xfId="3" applyNumberFormat="1" applyFont="1" applyBorder="1" applyAlignment="1">
      <alignment horizontal="center" vertical="center"/>
    </xf>
    <xf numFmtId="3" fontId="18" fillId="0" borderId="99" xfId="0" applyNumberFormat="1" applyFont="1" applyFill="1" applyBorder="1" applyAlignment="1">
      <alignment horizontal="center"/>
    </xf>
    <xf numFmtId="3" fontId="18" fillId="0" borderId="100" xfId="0" applyNumberFormat="1" applyFont="1" applyFill="1" applyBorder="1" applyAlignment="1">
      <alignment horizontal="center"/>
    </xf>
    <xf numFmtId="3" fontId="18" fillId="0" borderId="101" xfId="0" applyNumberFormat="1" applyFont="1" applyFill="1" applyBorder="1" applyAlignment="1">
      <alignment horizontal="center"/>
    </xf>
    <xf numFmtId="37" fontId="18" fillId="0" borderId="10" xfId="3" applyNumberFormat="1" applyFont="1" applyFill="1" applyBorder="1" applyAlignment="1">
      <alignment horizontal="center" vertical="center"/>
    </xf>
    <xf numFmtId="9" fontId="0" fillId="0" borderId="0" xfId="4" applyFont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9" fontId="0" fillId="0" borderId="23" xfId="4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3" fontId="18" fillId="0" borderId="16" xfId="0" applyNumberFormat="1" applyFont="1" applyFill="1" applyBorder="1" applyAlignment="1">
      <alignment horizontal="center" vertical="center"/>
    </xf>
    <xf numFmtId="3" fontId="0" fillId="0" borderId="99" xfId="0" applyNumberFormat="1" applyBorder="1" applyAlignment="1">
      <alignment horizontal="center" vertical="center"/>
    </xf>
    <xf numFmtId="3" fontId="0" fillId="0" borderId="103" xfId="0" applyNumberFormat="1" applyFill="1" applyBorder="1" applyAlignment="1">
      <alignment horizontal="center"/>
    </xf>
    <xf numFmtId="3" fontId="0" fillId="0" borderId="100" xfId="0" applyNumberFormat="1" applyBorder="1" applyAlignment="1">
      <alignment horizontal="center"/>
    </xf>
    <xf numFmtId="3" fontId="0" fillId="0" borderId="100" xfId="0" applyNumberFormat="1" applyFill="1" applyBorder="1" applyAlignment="1">
      <alignment horizontal="center"/>
    </xf>
    <xf numFmtId="3" fontId="0" fillId="0" borderId="101" xfId="0" applyNumberFormat="1" applyFill="1" applyBorder="1" applyAlignment="1">
      <alignment horizontal="center"/>
    </xf>
    <xf numFmtId="3" fontId="0" fillId="0" borderId="102" xfId="0" applyNumberFormat="1" applyBorder="1" applyAlignment="1">
      <alignment horizontal="center" vertical="center"/>
    </xf>
    <xf numFmtId="3" fontId="0" fillId="0" borderId="19" xfId="0" applyNumberFormat="1" applyFill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20" xfId="0" applyNumberFormat="1" applyFill="1" applyBorder="1" applyAlignment="1">
      <alignment horizontal="center"/>
    </xf>
    <xf numFmtId="3" fontId="0" fillId="0" borderId="21" xfId="0" applyNumberFormat="1" applyFill="1" applyBorder="1" applyAlignment="1">
      <alignment horizontal="center"/>
    </xf>
    <xf numFmtId="0" fontId="0" fillId="0" borderId="16" xfId="0" applyNumberFormat="1" applyBorder="1" applyAlignment="1">
      <alignment horizontal="center" vertical="center"/>
    </xf>
    <xf numFmtId="0" fontId="0" fillId="0" borderId="16" xfId="0" applyNumberFormat="1" applyFill="1" applyBorder="1" applyAlignment="1">
      <alignment horizontal="center" vertical="center"/>
    </xf>
    <xf numFmtId="0" fontId="0" fillId="0" borderId="102" xfId="0" applyNumberFormat="1" applyFill="1" applyBorder="1" applyAlignment="1">
      <alignment horizontal="center" vertical="center"/>
    </xf>
    <xf numFmtId="3" fontId="18" fillId="0" borderId="10" xfId="3" applyNumberFormat="1" applyFont="1" applyFill="1" applyBorder="1" applyAlignment="1">
      <alignment horizontal="center" vertical="center"/>
    </xf>
    <xf numFmtId="3" fontId="18" fillId="0" borderId="17" xfId="3" applyNumberFormat="1" applyFont="1" applyFill="1" applyBorder="1" applyAlignment="1">
      <alignment horizontal="center" vertical="center"/>
    </xf>
    <xf numFmtId="3" fontId="18" fillId="0" borderId="102" xfId="0" applyNumberFormat="1" applyFont="1" applyFill="1" applyBorder="1" applyAlignment="1">
      <alignment horizontal="center" vertical="center"/>
    </xf>
    <xf numFmtId="3" fontId="18" fillId="0" borderId="19" xfId="0" applyNumberFormat="1" applyFont="1" applyFill="1" applyBorder="1" applyAlignment="1">
      <alignment horizontal="center"/>
    </xf>
    <xf numFmtId="3" fontId="18" fillId="0" borderId="20" xfId="0" applyNumberFormat="1" applyFont="1" applyFill="1" applyBorder="1" applyAlignment="1">
      <alignment horizontal="center"/>
    </xf>
    <xf numFmtId="3" fontId="18" fillId="0" borderId="20" xfId="3" applyNumberFormat="1" applyFont="1" applyFill="1" applyBorder="1" applyAlignment="1">
      <alignment horizontal="center" vertical="center"/>
    </xf>
    <xf numFmtId="3" fontId="18" fillId="0" borderId="21" xfId="3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44" fontId="0" fillId="0" borderId="0" xfId="0" applyNumberFormat="1" applyBorder="1" applyAlignment="1">
      <alignment horizontal="center"/>
    </xf>
    <xf numFmtId="0" fontId="0" fillId="0" borderId="110" xfId="0" applyBorder="1" applyAlignment="1">
      <alignment horizontal="center"/>
    </xf>
    <xf numFmtId="0" fontId="0" fillId="0" borderId="109" xfId="0" applyBorder="1" applyAlignment="1">
      <alignment horizontal="center"/>
    </xf>
    <xf numFmtId="4" fontId="0" fillId="0" borderId="0" xfId="0" applyNumberFormat="1" applyBorder="1" applyAlignment="1">
      <alignment horizontal="center" vertical="center"/>
    </xf>
    <xf numFmtId="4" fontId="0" fillId="0" borderId="104" xfId="0" applyNumberFormat="1" applyBorder="1" applyAlignment="1">
      <alignment horizontal="center" vertical="center"/>
    </xf>
    <xf numFmtId="4" fontId="0" fillId="0" borderId="14" xfId="0" applyNumberFormat="1" applyBorder="1" applyAlignment="1">
      <alignment horizontal="center"/>
    </xf>
    <xf numFmtId="3" fontId="0" fillId="0" borderId="121" xfId="0" applyNumberFormat="1" applyFill="1" applyBorder="1" applyAlignment="1">
      <alignment horizontal="center" vertical="center"/>
    </xf>
    <xf numFmtId="4" fontId="0" fillId="0" borderId="121" xfId="0" applyNumberFormat="1" applyFill="1" applyBorder="1" applyAlignment="1">
      <alignment horizontal="center" vertical="center"/>
    </xf>
    <xf numFmtId="3" fontId="0" fillId="0" borderId="33" xfId="0" applyNumberFormat="1" applyFill="1" applyBorder="1" applyAlignment="1">
      <alignment horizontal="center" vertical="center"/>
    </xf>
    <xf numFmtId="4" fontId="0" fillId="0" borderId="33" xfId="0" applyNumberFormat="1" applyFill="1" applyBorder="1" applyAlignment="1">
      <alignment horizontal="center" vertical="center"/>
    </xf>
    <xf numFmtId="0" fontId="0" fillId="0" borderId="122" xfId="0" applyFill="1" applyBorder="1" applyAlignment="1">
      <alignment horizontal="center" vertical="center"/>
    </xf>
    <xf numFmtId="0" fontId="0" fillId="0" borderId="123" xfId="0" applyFill="1" applyBorder="1" applyAlignment="1">
      <alignment horizontal="center" vertical="center"/>
    </xf>
    <xf numFmtId="3" fontId="0" fillId="0" borderId="124" xfId="0" applyNumberFormat="1" applyFill="1" applyBorder="1" applyAlignment="1">
      <alignment horizontal="center" vertical="center"/>
    </xf>
    <xf numFmtId="3" fontId="0" fillId="0" borderId="125" xfId="0" applyNumberForma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3" fontId="0" fillId="0" borderId="35" xfId="0" applyNumberFormat="1" applyBorder="1" applyAlignment="1">
      <alignment horizontal="center" vertical="center" wrapText="1"/>
    </xf>
    <xf numFmtId="4" fontId="0" fillId="0" borderId="12" xfId="0" applyNumberFormat="1" applyBorder="1" applyAlignment="1">
      <alignment horizontal="center" vertical="center" wrapText="1"/>
    </xf>
    <xf numFmtId="4" fontId="0" fillId="0" borderId="57" xfId="0" applyNumberFormat="1" applyBorder="1" applyAlignment="1">
      <alignment horizontal="center" vertical="center" wrapText="1"/>
    </xf>
    <xf numFmtId="0" fontId="0" fillId="0" borderId="123" xfId="0" applyBorder="1" applyAlignment="1">
      <alignment horizontal="center" vertical="center"/>
    </xf>
    <xf numFmtId="3" fontId="0" fillId="0" borderId="33" xfId="0" applyNumberFormat="1" applyBorder="1" applyAlignment="1">
      <alignment horizontal="center" vertical="center"/>
    </xf>
    <xf numFmtId="4" fontId="0" fillId="0" borderId="33" xfId="0" applyNumberFormat="1" applyBorder="1" applyAlignment="1">
      <alignment horizontal="center" vertical="center"/>
    </xf>
    <xf numFmtId="4" fontId="1" fillId="12" borderId="31" xfId="0" applyNumberFormat="1" applyFont="1" applyFill="1" applyBorder="1" applyAlignment="1">
      <alignment horizontal="center" vertical="center"/>
    </xf>
    <xf numFmtId="4" fontId="0" fillId="0" borderId="0" xfId="0" applyNumberFormat="1" applyBorder="1" applyAlignment="1">
      <alignment horizontal="center"/>
    </xf>
    <xf numFmtId="4" fontId="0" fillId="0" borderId="0" xfId="0" applyNumberForma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" fillId="10" borderId="31" xfId="0" applyFont="1" applyFill="1" applyBorder="1" applyAlignment="1">
      <alignment horizontal="center" vertical="center"/>
    </xf>
    <xf numFmtId="0" fontId="1" fillId="10" borderId="43" xfId="0" applyFont="1" applyFill="1" applyBorder="1" applyAlignment="1">
      <alignment horizontal="center" vertical="center" wrapText="1"/>
    </xf>
    <xf numFmtId="0" fontId="1" fillId="10" borderId="89" xfId="0" applyFont="1" applyFill="1" applyBorder="1" applyAlignment="1">
      <alignment horizontal="center" vertical="center" wrapText="1"/>
    </xf>
    <xf numFmtId="0" fontId="1" fillId="10" borderId="44" xfId="0" applyFont="1" applyFill="1" applyBorder="1" applyAlignment="1">
      <alignment horizontal="center" vertical="center" wrapText="1"/>
    </xf>
    <xf numFmtId="3" fontId="1" fillId="0" borderId="15" xfId="0" applyNumberFormat="1" applyFont="1" applyFill="1" applyBorder="1" applyAlignment="1">
      <alignment horizontal="center" vertical="center"/>
    </xf>
    <xf numFmtId="3" fontId="1" fillId="0" borderId="24" xfId="0" applyNumberFormat="1" applyFont="1" applyFill="1" applyBorder="1" applyAlignment="1">
      <alignment horizontal="center"/>
    </xf>
    <xf numFmtId="3" fontId="1" fillId="0" borderId="25" xfId="0" applyNumberFormat="1" applyFont="1" applyFill="1" applyBorder="1" applyAlignment="1">
      <alignment horizontal="center"/>
    </xf>
    <xf numFmtId="3" fontId="1" fillId="0" borderId="22" xfId="0" applyNumberFormat="1" applyFont="1" applyFill="1" applyBorder="1" applyAlignment="1">
      <alignment horizontal="center"/>
    </xf>
    <xf numFmtId="4" fontId="1" fillId="12" borderId="12" xfId="0" applyNumberFormat="1" applyFont="1" applyFill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/>
    </xf>
    <xf numFmtId="165" fontId="0" fillId="13" borderId="31" xfId="0" applyNumberForma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73" fontId="4" fillId="0" borderId="1" xfId="0" applyNumberFormat="1" applyFont="1" applyBorder="1"/>
    <xf numFmtId="171" fontId="0" fillId="0" borderId="1" xfId="3" applyNumberFormat="1" applyFont="1" applyBorder="1"/>
    <xf numFmtId="164" fontId="4" fillId="0" borderId="0" xfId="0" applyNumberFormat="1" applyFont="1"/>
    <xf numFmtId="173" fontId="4" fillId="0" borderId="117" xfId="0" applyNumberFormat="1" applyFont="1" applyBorder="1"/>
    <xf numFmtId="0" fontId="0" fillId="0" borderId="117" xfId="0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0" fillId="0" borderId="0" xfId="0" applyNumberFormat="1" applyFill="1"/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44" fontId="4" fillId="0" borderId="0" xfId="0" applyNumberFormat="1" applyFont="1" applyAlignment="1">
      <alignment horizontal="center"/>
    </xf>
    <xf numFmtId="3" fontId="1" fillId="12" borderId="31" xfId="0" applyNumberFormat="1" applyFont="1" applyFill="1" applyBorder="1" applyAlignment="1">
      <alignment horizontal="center" vertical="center"/>
    </xf>
    <xf numFmtId="10" fontId="1" fillId="0" borderId="0" xfId="4" applyNumberFormat="1" applyFont="1" applyAlignment="1">
      <alignment horizontal="center" vertical="center"/>
    </xf>
    <xf numFmtId="0" fontId="0" fillId="0" borderId="67" xfId="0" applyBorder="1"/>
    <xf numFmtId="0" fontId="0" fillId="0" borderId="130" xfId="0" applyBorder="1" applyAlignment="1">
      <alignment horizontal="left"/>
    </xf>
    <xf numFmtId="0" fontId="0" fillId="0" borderId="131" xfId="0" applyBorder="1" applyAlignment="1">
      <alignment horizontal="left"/>
    </xf>
    <xf numFmtId="0" fontId="0" fillId="0" borderId="131" xfId="0" applyBorder="1"/>
    <xf numFmtId="0" fontId="22" fillId="0" borderId="0" xfId="0" applyFont="1" applyAlignment="1"/>
    <xf numFmtId="0" fontId="2" fillId="0" borderId="0" xfId="0" applyFont="1" applyAlignment="1"/>
    <xf numFmtId="172" fontId="1" fillId="0" borderId="0" xfId="4" applyNumberFormat="1" applyFont="1" applyAlignment="1">
      <alignment horizontal="center" vertical="center"/>
    </xf>
    <xf numFmtId="4" fontId="0" fillId="15" borderId="48" xfId="0" applyNumberFormat="1" applyFill="1" applyBorder="1" applyAlignment="1">
      <alignment horizontal="center" vertical="center"/>
    </xf>
    <xf numFmtId="3" fontId="0" fillId="11" borderId="126" xfId="0" applyNumberFormat="1" applyFill="1" applyBorder="1" applyAlignment="1">
      <alignment horizontal="center" vertical="center"/>
    </xf>
    <xf numFmtId="10" fontId="0" fillId="11" borderId="127" xfId="4" applyNumberFormat="1" applyFont="1" applyFill="1" applyBorder="1" applyAlignment="1">
      <alignment horizontal="center" vertical="center"/>
    </xf>
    <xf numFmtId="4" fontId="0" fillId="11" borderId="46" xfId="0" applyNumberFormat="1" applyFill="1" applyBorder="1" applyAlignment="1">
      <alignment horizontal="center" vertical="center"/>
    </xf>
    <xf numFmtId="0" fontId="1" fillId="10" borderId="90" xfId="0" applyFont="1" applyFill="1" applyBorder="1" applyAlignment="1">
      <alignment horizontal="center" vertical="center" wrapText="1"/>
    </xf>
    <xf numFmtId="3" fontId="18" fillId="0" borderId="9" xfId="0" applyNumberFormat="1" applyFont="1" applyFill="1" applyBorder="1" applyAlignment="1">
      <alignment horizontal="center" vertical="center"/>
    </xf>
    <xf numFmtId="3" fontId="18" fillId="0" borderId="19" xfId="0" applyNumberFormat="1" applyFont="1" applyFill="1" applyBorder="1" applyAlignment="1">
      <alignment horizontal="center" vertical="center"/>
    </xf>
    <xf numFmtId="3" fontId="0" fillId="0" borderId="103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9" xfId="0" applyNumberFormat="1" applyFill="1" applyBorder="1" applyAlignment="1">
      <alignment horizontal="center" vertical="center"/>
    </xf>
    <xf numFmtId="0" fontId="0" fillId="0" borderId="19" xfId="0" applyNumberFormat="1" applyFill="1" applyBorder="1" applyAlignment="1">
      <alignment horizontal="center" vertical="center"/>
    </xf>
    <xf numFmtId="0" fontId="1" fillId="10" borderId="133" xfId="0" applyFont="1" applyFill="1" applyBorder="1" applyAlignment="1">
      <alignment horizontal="center" vertical="center" wrapText="1"/>
    </xf>
    <xf numFmtId="3" fontId="18" fillId="0" borderId="7" xfId="3" applyNumberFormat="1" applyFont="1" applyFill="1" applyBorder="1" applyAlignment="1">
      <alignment horizontal="center" vertical="center"/>
    </xf>
    <xf numFmtId="3" fontId="18" fillId="0" borderId="134" xfId="3" applyNumberFormat="1" applyFont="1" applyFill="1" applyBorder="1" applyAlignment="1">
      <alignment horizontal="center" vertical="center"/>
    </xf>
    <xf numFmtId="3" fontId="0" fillId="0" borderId="135" xfId="0" applyNumberFormat="1" applyBorder="1" applyAlignment="1">
      <alignment horizontal="center"/>
    </xf>
    <xf numFmtId="3" fontId="0" fillId="0" borderId="134" xfId="0" applyNumberFormat="1" applyBorder="1" applyAlignment="1">
      <alignment horizontal="center"/>
    </xf>
    <xf numFmtId="0" fontId="0" fillId="0" borderId="7" xfId="0" applyNumberFormat="1" applyFill="1" applyBorder="1" applyAlignment="1">
      <alignment horizontal="center"/>
    </xf>
    <xf numFmtId="0" fontId="0" fillId="0" borderId="134" xfId="0" applyNumberFormat="1" applyFill="1" applyBorder="1" applyAlignment="1">
      <alignment horizontal="center"/>
    </xf>
    <xf numFmtId="0" fontId="0" fillId="10" borderId="90" xfId="0" applyFill="1" applyBorder="1" applyAlignment="1">
      <alignment horizontal="center" vertical="center" wrapText="1"/>
    </xf>
    <xf numFmtId="170" fontId="0" fillId="0" borderId="103" xfId="0" applyNumberFormat="1" applyBorder="1" applyAlignment="1">
      <alignment horizontal="center" vertical="center"/>
    </xf>
    <xf numFmtId="3" fontId="0" fillId="0" borderId="19" xfId="3" applyNumberFormat="1" applyFont="1" applyBorder="1" applyAlignment="1">
      <alignment horizontal="center" vertical="center"/>
    </xf>
    <xf numFmtId="3" fontId="18" fillId="0" borderId="103" xfId="0" applyNumberFormat="1" applyFont="1" applyFill="1" applyBorder="1" applyAlignment="1">
      <alignment horizontal="center"/>
    </xf>
    <xf numFmtId="37" fontId="18" fillId="0" borderId="9" xfId="3" applyNumberFormat="1" applyFont="1" applyFill="1" applyBorder="1" applyAlignment="1">
      <alignment horizontal="center"/>
    </xf>
    <xf numFmtId="3" fontId="1" fillId="10" borderId="137" xfId="0" applyNumberFormat="1" applyFont="1" applyFill="1" applyBorder="1" applyAlignment="1">
      <alignment horizontal="center"/>
    </xf>
    <xf numFmtId="1" fontId="0" fillId="12" borderId="90" xfId="0" applyNumberFormat="1" applyFill="1" applyBorder="1" applyAlignment="1">
      <alignment horizontal="center" vertical="center"/>
    </xf>
    <xf numFmtId="0" fontId="0" fillId="10" borderId="133" xfId="0" applyFill="1" applyBorder="1" applyAlignment="1">
      <alignment horizontal="center" vertical="center" wrapText="1"/>
    </xf>
    <xf numFmtId="170" fontId="0" fillId="0" borderId="135" xfId="0" applyNumberFormat="1" applyBorder="1" applyAlignment="1">
      <alignment horizontal="center" vertical="center"/>
    </xf>
    <xf numFmtId="3" fontId="18" fillId="0" borderId="7" xfId="0" applyNumberFormat="1" applyFont="1" applyFill="1" applyBorder="1" applyAlignment="1">
      <alignment horizontal="center"/>
    </xf>
    <xf numFmtId="3" fontId="18" fillId="0" borderId="135" xfId="0" applyNumberFormat="1" applyFont="1" applyFill="1" applyBorder="1" applyAlignment="1">
      <alignment horizontal="center"/>
    </xf>
    <xf numFmtId="37" fontId="18" fillId="0" borderId="7" xfId="3" applyNumberFormat="1" applyFont="1" applyFill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1" fontId="0" fillId="12" borderId="133" xfId="0" applyNumberFormat="1" applyFill="1" applyBorder="1" applyAlignment="1">
      <alignment horizontal="center" vertical="center"/>
    </xf>
    <xf numFmtId="0" fontId="23" fillId="0" borderId="59" xfId="0" applyFont="1" applyBorder="1" applyAlignment="1">
      <alignment horizontal="center"/>
    </xf>
    <xf numFmtId="3" fontId="18" fillId="0" borderId="58" xfId="0" applyNumberFormat="1" applyFont="1" applyBorder="1" applyAlignment="1">
      <alignment horizontal="center"/>
    </xf>
    <xf numFmtId="3" fontId="18" fillId="0" borderId="60" xfId="0" applyNumberFormat="1" applyFont="1" applyBorder="1" applyAlignment="1">
      <alignment horizontal="center"/>
    </xf>
    <xf numFmtId="3" fontId="18" fillId="0" borderId="136" xfId="0" applyNumberFormat="1" applyFont="1" applyBorder="1" applyAlignment="1">
      <alignment horizontal="center"/>
    </xf>
    <xf numFmtId="3" fontId="18" fillId="0" borderId="61" xfId="0" applyNumberFormat="1" applyFont="1" applyFill="1" applyBorder="1" applyAlignment="1">
      <alignment horizontal="center"/>
    </xf>
    <xf numFmtId="3" fontId="18" fillId="0" borderId="138" xfId="0" applyNumberFormat="1" applyFont="1" applyFill="1" applyBorder="1" applyAlignment="1">
      <alignment horizontal="center"/>
    </xf>
    <xf numFmtId="3" fontId="18" fillId="0" borderId="62" xfId="0" applyNumberFormat="1" applyFont="1" applyFill="1" applyBorder="1" applyAlignment="1">
      <alignment horizontal="center"/>
    </xf>
    <xf numFmtId="0" fontId="0" fillId="0" borderId="0" xfId="0" applyAlignment="1">
      <alignment horizontal="right" vertical="center" wrapText="1"/>
    </xf>
    <xf numFmtId="0" fontId="1" fillId="0" borderId="0" xfId="0" applyFont="1" applyBorder="1" applyAlignment="1">
      <alignment horizontal="center"/>
    </xf>
    <xf numFmtId="9" fontId="1" fillId="0" borderId="0" xfId="4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0" fillId="0" borderId="66" xfId="0" applyBorder="1" applyAlignment="1">
      <alignment horizontal="left"/>
    </xf>
    <xf numFmtId="0" fontId="0" fillId="0" borderId="67" xfId="0" applyBorder="1" applyAlignment="1">
      <alignment horizontal="left"/>
    </xf>
    <xf numFmtId="3" fontId="24" fillId="10" borderId="29" xfId="0" applyNumberFormat="1" applyFont="1" applyFill="1" applyBorder="1" applyAlignment="1">
      <alignment horizontal="center" vertical="center"/>
    </xf>
    <xf numFmtId="4" fontId="24" fillId="10" borderId="18" xfId="0" applyNumberFormat="1" applyFont="1" applyFill="1" applyBorder="1" applyAlignment="1">
      <alignment horizontal="center" vertical="center"/>
    </xf>
    <xf numFmtId="3" fontId="0" fillId="11" borderId="26" xfId="0" applyNumberFormat="1" applyFill="1" applyBorder="1" applyAlignment="1">
      <alignment horizontal="center" vertical="center"/>
    </xf>
    <xf numFmtId="10" fontId="17" fillId="11" borderId="42" xfId="4" applyNumberFormat="1" applyFont="1" applyFill="1" applyBorder="1" applyAlignment="1">
      <alignment horizontal="center" vertical="center"/>
    </xf>
    <xf numFmtId="3" fontId="1" fillId="0" borderId="23" xfId="0" applyNumberFormat="1" applyFont="1" applyFill="1" applyBorder="1" applyAlignment="1">
      <alignment horizontal="center" vertical="center"/>
    </xf>
    <xf numFmtId="3" fontId="0" fillId="11" borderId="128" xfId="0" applyNumberFormat="1" applyFill="1" applyBorder="1" applyAlignment="1">
      <alignment horizontal="center" vertical="center"/>
    </xf>
    <xf numFmtId="10" fontId="0" fillId="11" borderId="88" xfId="4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3" fontId="0" fillId="11" borderId="72" xfId="0" applyNumberFormat="1" applyFill="1" applyBorder="1" applyAlignment="1">
      <alignment horizontal="center" vertical="center"/>
    </xf>
    <xf numFmtId="3" fontId="0" fillId="0" borderId="0" xfId="0" applyNumberFormat="1" applyAlignment="1">
      <alignment horizontal="left" vertical="center"/>
    </xf>
    <xf numFmtId="0" fontId="0" fillId="0" borderId="0" xfId="0" applyFont="1"/>
    <xf numFmtId="0" fontId="1" fillId="0" borderId="0" xfId="0" applyFont="1" applyBorder="1" applyAlignment="1">
      <alignment horizontal="left" vertical="center"/>
    </xf>
    <xf numFmtId="3" fontId="1" fillId="0" borderId="0" xfId="0" applyNumberFormat="1" applyFont="1" applyBorder="1" applyAlignment="1">
      <alignment horizontal="center" vertical="center"/>
    </xf>
    <xf numFmtId="170" fontId="1" fillId="0" borderId="0" xfId="0" applyNumberFormat="1" applyFont="1" applyFill="1" applyBorder="1" applyAlignment="1">
      <alignment horizontal="center" vertical="center"/>
    </xf>
    <xf numFmtId="10" fontId="0" fillId="11" borderId="142" xfId="4" applyNumberFormat="1" applyFont="1" applyFill="1" applyBorder="1" applyAlignment="1">
      <alignment horizontal="center" vertical="center"/>
    </xf>
    <xf numFmtId="170" fontId="1" fillId="0" borderId="129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 wrapText="1"/>
    </xf>
    <xf numFmtId="0" fontId="0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16" borderId="11" xfId="0" applyFont="1" applyFill="1" applyBorder="1" applyAlignment="1">
      <alignment horizontal="center" vertical="center"/>
    </xf>
    <xf numFmtId="0" fontId="0" fillId="0" borderId="146" xfId="0" applyBorder="1" applyAlignment="1">
      <alignment horizontal="center"/>
    </xf>
    <xf numFmtId="0" fontId="0" fillId="0" borderId="147" xfId="0" applyBorder="1" applyAlignment="1">
      <alignment horizontal="center"/>
    </xf>
    <xf numFmtId="0" fontId="0" fillId="0" borderId="148" xfId="0" applyBorder="1" applyAlignment="1">
      <alignment horizontal="center"/>
    </xf>
    <xf numFmtId="0" fontId="0" fillId="0" borderId="144" xfId="0" applyBorder="1"/>
    <xf numFmtId="0" fontId="0" fillId="0" borderId="145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4" fontId="0" fillId="0" borderId="0" xfId="0" applyNumberFormat="1" applyFill="1" applyBorder="1" applyAlignment="1">
      <alignment horizontal="center"/>
    </xf>
    <xf numFmtId="44" fontId="0" fillId="0" borderId="104" xfId="0" applyNumberFormat="1" applyFill="1" applyBorder="1" applyAlignment="1">
      <alignment horizontal="center"/>
    </xf>
    <xf numFmtId="44" fontId="0" fillId="0" borderId="14" xfId="0" applyNumberFormat="1" applyFill="1" applyBorder="1" applyAlignment="1">
      <alignment horizontal="center"/>
    </xf>
    <xf numFmtId="3" fontId="0" fillId="16" borderId="54" xfId="0" applyNumberFormat="1" applyFont="1" applyFill="1" applyBorder="1" applyAlignment="1" applyProtection="1">
      <alignment horizontal="center" vertical="center"/>
      <protection locked="0"/>
    </xf>
    <xf numFmtId="3" fontId="0" fillId="16" borderId="0" xfId="0" applyNumberFormat="1" applyFont="1" applyFill="1" applyBorder="1" applyAlignment="1" applyProtection="1">
      <alignment horizontal="center" vertical="center"/>
      <protection locked="0"/>
    </xf>
    <xf numFmtId="3" fontId="0" fillId="16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>
      <alignment horizontal="center"/>
    </xf>
    <xf numFmtId="0" fontId="0" fillId="0" borderId="104" xfId="0" applyFill="1" applyBorder="1" applyAlignment="1">
      <alignment horizontal="center"/>
    </xf>
    <xf numFmtId="44" fontId="0" fillId="0" borderId="29" xfId="0" applyNumberForma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4" fontId="0" fillId="0" borderId="0" xfId="0" applyNumberFormat="1" applyFont="1" applyFill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0" fillId="0" borderId="105" xfId="0" applyFill="1" applyBorder="1" applyAlignment="1">
      <alignment horizontal="center"/>
    </xf>
    <xf numFmtId="0" fontId="0" fillId="0" borderId="106" xfId="0" applyFill="1" applyBorder="1" applyAlignment="1">
      <alignment horizontal="center"/>
    </xf>
    <xf numFmtId="0" fontId="0" fillId="0" borderId="11" xfId="0" applyFont="1" applyFill="1" applyBorder="1" applyAlignment="1">
      <alignment horizontal="center" vertical="center"/>
    </xf>
    <xf numFmtId="0" fontId="0" fillId="0" borderId="111" xfId="0" applyFill="1" applyBorder="1" applyAlignment="1">
      <alignment horizontal="center"/>
    </xf>
    <xf numFmtId="0" fontId="0" fillId="0" borderId="112" xfId="0" applyFill="1" applyBorder="1" applyAlignment="1">
      <alignment horizontal="center"/>
    </xf>
    <xf numFmtId="0" fontId="0" fillId="0" borderId="18" xfId="0" applyFont="1" applyFill="1" applyBorder="1" applyAlignment="1">
      <alignment horizontal="center" vertical="center"/>
    </xf>
    <xf numFmtId="0" fontId="0" fillId="0" borderId="110" xfId="0" applyFill="1" applyBorder="1" applyAlignment="1">
      <alignment horizontal="center"/>
    </xf>
    <xf numFmtId="0" fontId="0" fillId="0" borderId="109" xfId="0" applyFill="1" applyBorder="1" applyAlignment="1">
      <alignment horizontal="center"/>
    </xf>
    <xf numFmtId="0" fontId="0" fillId="0" borderId="107" xfId="0" applyFill="1" applyBorder="1" applyAlignment="1">
      <alignment horizontal="center"/>
    </xf>
    <xf numFmtId="0" fontId="0" fillId="0" borderId="108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12" xfId="0" applyFont="1" applyFill="1" applyBorder="1" applyAlignment="1">
      <alignment horizontal="center" vertical="center"/>
    </xf>
    <xf numFmtId="169" fontId="0" fillId="0" borderId="0" xfId="0" applyNumberFormat="1" applyAlignment="1">
      <alignment horizontal="center"/>
    </xf>
    <xf numFmtId="169" fontId="0" fillId="0" borderId="0" xfId="0" applyNumberFormat="1" applyBorder="1" applyAlignment="1">
      <alignment horizontal="center"/>
    </xf>
    <xf numFmtId="169" fontId="5" fillId="0" borderId="0" xfId="0" applyNumberFormat="1" applyFont="1" applyBorder="1"/>
    <xf numFmtId="169" fontId="0" fillId="0" borderId="106" xfId="0" applyNumberFormat="1" applyBorder="1" applyAlignment="1">
      <alignment horizontal="center"/>
    </xf>
    <xf numFmtId="169" fontId="0" fillId="0" borderId="106" xfId="0" applyNumberFormat="1" applyFill="1" applyBorder="1" applyAlignment="1">
      <alignment horizontal="center"/>
    </xf>
    <xf numFmtId="169" fontId="0" fillId="0" borderId="17" xfId="0" applyNumberFormat="1" applyBorder="1" applyAlignment="1">
      <alignment horizontal="center"/>
    </xf>
    <xf numFmtId="169" fontId="0" fillId="0" borderId="112" xfId="0" applyNumberFormat="1" applyFill="1" applyBorder="1" applyAlignment="1">
      <alignment horizontal="center"/>
    </xf>
    <xf numFmtId="169" fontId="0" fillId="0" borderId="109" xfId="0" applyNumberFormat="1" applyFill="1" applyBorder="1" applyAlignment="1">
      <alignment horizontal="center"/>
    </xf>
    <xf numFmtId="169" fontId="0" fillId="0" borderId="108" xfId="0" applyNumberFormat="1" applyFill="1" applyBorder="1" applyAlignment="1">
      <alignment horizontal="center"/>
    </xf>
    <xf numFmtId="169" fontId="0" fillId="0" borderId="149" xfId="0" applyNumberFormat="1" applyFill="1" applyBorder="1" applyAlignment="1">
      <alignment horizontal="center"/>
    </xf>
    <xf numFmtId="169" fontId="0" fillId="0" borderId="150" xfId="0" applyNumberFormat="1" applyFill="1" applyBorder="1" applyAlignment="1">
      <alignment horizontal="center"/>
    </xf>
    <xf numFmtId="169" fontId="0" fillId="0" borderId="151" xfId="0" applyNumberFormat="1" applyFill="1" applyBorder="1" applyAlignment="1">
      <alignment horizontal="center"/>
    </xf>
    <xf numFmtId="169" fontId="0" fillId="0" borderId="0" xfId="0" applyNumberFormat="1" applyFont="1" applyFill="1" applyBorder="1" applyAlignment="1">
      <alignment horizontal="center"/>
    </xf>
    <xf numFmtId="169" fontId="4" fillId="0" borderId="139" xfId="0" applyNumberFormat="1" applyFont="1" applyBorder="1" applyAlignment="1">
      <alignment horizontal="center"/>
    </xf>
    <xf numFmtId="169" fontId="4" fillId="0" borderId="140" xfId="0" applyNumberFormat="1" applyFont="1" applyBorder="1" applyAlignment="1">
      <alignment horizontal="center"/>
    </xf>
    <xf numFmtId="169" fontId="0" fillId="0" borderId="140" xfId="0" applyNumberFormat="1" applyBorder="1" applyAlignment="1">
      <alignment horizontal="center"/>
    </xf>
    <xf numFmtId="169" fontId="0" fillId="0" borderId="141" xfId="0" applyNumberFormat="1" applyBorder="1" applyAlignment="1">
      <alignment horizontal="center"/>
    </xf>
    <xf numFmtId="169" fontId="1" fillId="0" borderId="0" xfId="0" applyNumberFormat="1" applyFont="1" applyBorder="1" applyAlignment="1">
      <alignment horizontal="center"/>
    </xf>
    <xf numFmtId="169" fontId="0" fillId="0" borderId="113" xfId="0" applyNumberFormat="1" applyBorder="1" applyAlignment="1">
      <alignment horizontal="center"/>
    </xf>
    <xf numFmtId="169" fontId="0" fillId="0" borderId="115" xfId="0" applyNumberFormat="1" applyFill="1" applyBorder="1" applyAlignment="1">
      <alignment horizontal="center"/>
    </xf>
    <xf numFmtId="169" fontId="0" fillId="0" borderId="9" xfId="0" applyNumberFormat="1" applyBorder="1" applyAlignment="1">
      <alignment horizontal="center"/>
    </xf>
    <xf numFmtId="169" fontId="0" fillId="0" borderId="114" xfId="0" applyNumberFormat="1" applyFill="1" applyBorder="1" applyAlignment="1">
      <alignment horizontal="center"/>
    </xf>
    <xf numFmtId="169" fontId="0" fillId="0" borderId="113" xfId="0" applyNumberFormat="1" applyFill="1" applyBorder="1" applyAlignment="1">
      <alignment horizontal="center"/>
    </xf>
    <xf numFmtId="169" fontId="0" fillId="0" borderId="19" xfId="0" applyNumberFormat="1" applyFill="1" applyBorder="1" applyAlignment="1">
      <alignment horizontal="center"/>
    </xf>
    <xf numFmtId="169" fontId="0" fillId="0" borderId="107" xfId="0" applyNumberFormat="1" applyFill="1" applyBorder="1" applyAlignment="1">
      <alignment horizontal="center"/>
    </xf>
    <xf numFmtId="1" fontId="5" fillId="0" borderId="0" xfId="0" applyNumberFormat="1" applyFont="1" applyBorder="1"/>
    <xf numFmtId="169" fontId="0" fillId="0" borderId="100" xfId="0" applyNumberFormat="1" applyBorder="1" applyAlignment="1">
      <alignment horizontal="center"/>
    </xf>
    <xf numFmtId="169" fontId="0" fillId="0" borderId="20" xfId="0" applyNumberFormat="1" applyBorder="1" applyAlignment="1">
      <alignment horizontal="center"/>
    </xf>
    <xf numFmtId="0" fontId="0" fillId="0" borderId="45" xfId="0" applyFont="1" applyFill="1" applyBorder="1" applyAlignment="1">
      <alignment horizontal="center"/>
    </xf>
    <xf numFmtId="0" fontId="0" fillId="0" borderId="104" xfId="0" applyBorder="1" applyAlignment="1">
      <alignment horizontal="right"/>
    </xf>
    <xf numFmtId="0" fontId="0" fillId="0" borderId="54" xfId="0" applyFont="1" applyFill="1" applyBorder="1" applyAlignment="1">
      <alignment horizontal="center"/>
    </xf>
    <xf numFmtId="169" fontId="0" fillId="0" borderId="20" xfId="0" applyNumberFormat="1" applyFill="1" applyBorder="1" applyAlignment="1">
      <alignment horizontal="center"/>
    </xf>
    <xf numFmtId="169" fontId="1" fillId="0" borderId="0" xfId="0" applyNumberFormat="1" applyFont="1" applyFill="1" applyBorder="1" applyAlignment="1">
      <alignment horizontal="center"/>
    </xf>
    <xf numFmtId="169" fontId="1" fillId="0" borderId="0" xfId="0" applyNumberFormat="1" applyFont="1" applyBorder="1" applyAlignment="1">
      <alignment horizontal="center" vertical="center"/>
    </xf>
    <xf numFmtId="169" fontId="0" fillId="0" borderId="99" xfId="0" applyNumberFormat="1" applyBorder="1" applyAlignment="1">
      <alignment horizontal="center"/>
    </xf>
    <xf numFmtId="169" fontId="0" fillId="0" borderId="103" xfId="0" applyNumberFormat="1" applyBorder="1" applyAlignment="1">
      <alignment horizontal="center"/>
    </xf>
    <xf numFmtId="169" fontId="0" fillId="0" borderId="101" xfId="0" applyNumberFormat="1" applyBorder="1" applyAlignment="1">
      <alignment horizontal="center"/>
    </xf>
    <xf numFmtId="169" fontId="0" fillId="0" borderId="16" xfId="0" applyNumberFormat="1" applyFill="1" applyBorder="1" applyAlignment="1">
      <alignment horizontal="center"/>
    </xf>
    <xf numFmtId="169" fontId="0" fillId="0" borderId="9" xfId="0" applyNumberFormat="1" applyFill="1" applyBorder="1" applyAlignment="1">
      <alignment horizontal="center"/>
    </xf>
    <xf numFmtId="169" fontId="0" fillId="0" borderId="10" xfId="0" applyNumberFormat="1" applyFill="1" applyBorder="1" applyAlignment="1">
      <alignment horizontal="center"/>
    </xf>
    <xf numFmtId="169" fontId="0" fillId="0" borderId="17" xfId="0" applyNumberFormat="1" applyFill="1" applyBorder="1" applyAlignment="1">
      <alignment horizontal="center"/>
    </xf>
    <xf numFmtId="169" fontId="0" fillId="0" borderId="102" xfId="0" applyNumberFormat="1" applyBorder="1" applyAlignment="1">
      <alignment horizontal="center"/>
    </xf>
    <xf numFmtId="169" fontId="0" fillId="0" borderId="19" xfId="0" applyNumberFormat="1" applyBorder="1" applyAlignment="1">
      <alignment horizontal="center"/>
    </xf>
    <xf numFmtId="169" fontId="0" fillId="0" borderId="21" xfId="0" applyNumberFormat="1" applyBorder="1" applyAlignment="1">
      <alignment horizontal="center"/>
    </xf>
    <xf numFmtId="169" fontId="0" fillId="0" borderId="99" xfId="0" applyNumberFormat="1" applyFill="1" applyBorder="1" applyAlignment="1">
      <alignment horizontal="center"/>
    </xf>
    <xf numFmtId="169" fontId="0" fillId="0" borderId="103" xfId="0" applyNumberFormat="1" applyFill="1" applyBorder="1" applyAlignment="1">
      <alignment horizontal="center"/>
    </xf>
    <xf numFmtId="169" fontId="0" fillId="0" borderId="100" xfId="0" applyNumberFormat="1" applyFill="1" applyBorder="1" applyAlignment="1">
      <alignment horizontal="center"/>
    </xf>
    <xf numFmtId="169" fontId="0" fillId="0" borderId="101" xfId="0" applyNumberFormat="1" applyFill="1" applyBorder="1" applyAlignment="1">
      <alignment horizontal="center"/>
    </xf>
    <xf numFmtId="169" fontId="0" fillId="0" borderId="102" xfId="0" applyNumberFormat="1" applyFill="1" applyBorder="1" applyAlignment="1">
      <alignment horizontal="center"/>
    </xf>
    <xf numFmtId="169" fontId="0" fillId="0" borderId="21" xfId="0" applyNumberFormat="1" applyFill="1" applyBorder="1" applyAlignment="1">
      <alignment horizontal="center"/>
    </xf>
    <xf numFmtId="169" fontId="0" fillId="0" borderId="54" xfId="0" applyNumberFormat="1" applyFill="1" applyBorder="1" applyAlignment="1">
      <alignment horizontal="center"/>
    </xf>
    <xf numFmtId="169" fontId="0" fillId="0" borderId="0" xfId="0" applyNumberFormat="1" applyFill="1" applyBorder="1" applyAlignment="1">
      <alignment horizontal="center"/>
    </xf>
    <xf numFmtId="169" fontId="0" fillId="3" borderId="144" xfId="0" applyNumberFormat="1" applyFill="1" applyBorder="1"/>
    <xf numFmtId="169" fontId="0" fillId="17" borderId="143" xfId="0" applyNumberFormat="1" applyFill="1" applyBorder="1"/>
    <xf numFmtId="3" fontId="0" fillId="0" borderId="111" xfId="3" applyNumberFormat="1" applyFont="1" applyFill="1" applyBorder="1" applyAlignment="1" applyProtection="1">
      <alignment horizontal="center" vertical="center"/>
      <protection locked="0"/>
    </xf>
    <xf numFmtId="3" fontId="0" fillId="0" borderId="143" xfId="3" applyNumberFormat="1" applyFont="1" applyFill="1" applyBorder="1" applyAlignment="1" applyProtection="1">
      <alignment horizontal="center" vertical="center"/>
      <protection locked="0"/>
    </xf>
    <xf numFmtId="3" fontId="0" fillId="0" borderId="112" xfId="3" applyNumberFormat="1" applyFont="1" applyFill="1" applyBorder="1" applyAlignment="1" applyProtection="1">
      <alignment horizontal="center" vertical="center"/>
      <protection locked="0"/>
    </xf>
    <xf numFmtId="3" fontId="0" fillId="0" borderId="105" xfId="3" applyNumberFormat="1" applyFont="1" applyFill="1" applyBorder="1" applyAlignment="1" applyProtection="1">
      <alignment horizontal="center" vertical="center"/>
      <protection locked="0"/>
    </xf>
    <xf numFmtId="3" fontId="0" fillId="0" borderId="144" xfId="3" applyNumberFormat="1" applyFont="1" applyFill="1" applyBorder="1" applyAlignment="1" applyProtection="1">
      <alignment horizontal="center" vertical="center"/>
      <protection locked="0"/>
    </xf>
    <xf numFmtId="3" fontId="0" fillId="0" borderId="106" xfId="3" applyNumberFormat="1" applyFont="1" applyFill="1" applyBorder="1" applyAlignment="1" applyProtection="1">
      <alignment horizontal="center" vertical="center"/>
      <protection locked="0"/>
    </xf>
    <xf numFmtId="3" fontId="0" fillId="0" borderId="105" xfId="0" applyNumberFormat="1" applyFont="1" applyFill="1" applyBorder="1" applyAlignment="1" applyProtection="1">
      <alignment horizontal="center" vertical="center"/>
      <protection locked="0"/>
    </xf>
    <xf numFmtId="3" fontId="0" fillId="0" borderId="144" xfId="0" applyNumberFormat="1" applyFont="1" applyFill="1" applyBorder="1" applyAlignment="1" applyProtection="1">
      <alignment horizontal="center" vertical="center"/>
      <protection locked="0"/>
    </xf>
    <xf numFmtId="3" fontId="0" fillId="0" borderId="106" xfId="0" applyNumberFormat="1" applyFont="1" applyFill="1" applyBorder="1" applyAlignment="1" applyProtection="1">
      <alignment horizontal="center" vertical="center"/>
      <protection locked="0"/>
    </xf>
    <xf numFmtId="3" fontId="0" fillId="0" borderId="107" xfId="0" applyNumberFormat="1" applyFont="1" applyFill="1" applyBorder="1" applyAlignment="1" applyProtection="1">
      <alignment horizontal="center" vertical="center"/>
      <protection locked="0"/>
    </xf>
    <xf numFmtId="3" fontId="0" fillId="0" borderId="145" xfId="0" applyNumberFormat="1" applyFont="1" applyFill="1" applyBorder="1" applyAlignment="1" applyProtection="1">
      <alignment horizontal="center" vertical="center"/>
      <protection locked="0"/>
    </xf>
    <xf numFmtId="3" fontId="0" fillId="0" borderId="108" xfId="0" applyNumberFormat="1" applyFont="1" applyFill="1" applyBorder="1" applyAlignment="1" applyProtection="1">
      <alignment horizontal="center" vertical="center"/>
      <protection locked="0"/>
    </xf>
    <xf numFmtId="3" fontId="0" fillId="0" borderId="111" xfId="0" applyNumberFormat="1" applyFont="1" applyFill="1" applyBorder="1" applyAlignment="1" applyProtection="1">
      <alignment horizontal="center" vertical="center"/>
      <protection locked="0"/>
    </xf>
    <xf numFmtId="3" fontId="0" fillId="0" borderId="143" xfId="0" applyNumberFormat="1" applyFont="1" applyFill="1" applyBorder="1" applyAlignment="1" applyProtection="1">
      <alignment horizontal="center" vertical="center"/>
      <protection locked="0"/>
    </xf>
    <xf numFmtId="3" fontId="0" fillId="0" borderId="112" xfId="0" applyNumberFormat="1" applyFont="1" applyFill="1" applyBorder="1" applyAlignment="1" applyProtection="1">
      <alignment horizontal="center" vertical="center"/>
      <protection locked="0"/>
    </xf>
    <xf numFmtId="169" fontId="0" fillId="0" borderId="15" xfId="0" applyNumberFormat="1" applyFont="1" applyFill="1" applyBorder="1" applyAlignment="1">
      <alignment horizontal="center"/>
    </xf>
    <xf numFmtId="169" fontId="0" fillId="0" borderId="25" xfId="0" applyNumberFormat="1" applyFont="1" applyFill="1" applyBorder="1" applyAlignment="1">
      <alignment horizontal="center"/>
    </xf>
    <xf numFmtId="169" fontId="0" fillId="0" borderId="22" xfId="0" applyNumberFormat="1" applyFont="1" applyFill="1" applyBorder="1" applyAlignment="1">
      <alignment horizontal="center"/>
    </xf>
    <xf numFmtId="169" fontId="0" fillId="0" borderId="15" xfId="0" applyNumberFormat="1" applyFont="1" applyFill="1" applyBorder="1" applyAlignment="1">
      <alignment horizontal="center" vertical="center" wrapText="1"/>
    </xf>
    <xf numFmtId="169" fontId="0" fillId="0" borderId="24" xfId="0" applyNumberFormat="1" applyFont="1" applyFill="1" applyBorder="1" applyAlignment="1">
      <alignment horizontal="center" vertical="center" wrapText="1"/>
    </xf>
    <xf numFmtId="169" fontId="0" fillId="0" borderId="25" xfId="0" applyNumberFormat="1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/>
    </xf>
    <xf numFmtId="0" fontId="6" fillId="0" borderId="152" xfId="0" applyFont="1" applyBorder="1" applyAlignment="1">
      <alignment horizontal="right"/>
    </xf>
    <xf numFmtId="0" fontId="0" fillId="0" borderId="14" xfId="0" applyFont="1" applyFill="1" applyBorder="1" applyAlignment="1">
      <alignment horizontal="right"/>
    </xf>
    <xf numFmtId="169" fontId="0" fillId="0" borderId="0" xfId="0" applyNumberFormat="1" applyFont="1" applyBorder="1" applyAlignment="1">
      <alignment horizontal="center" vertical="center"/>
    </xf>
    <xf numFmtId="0" fontId="0" fillId="0" borderId="66" xfId="0" applyBorder="1" applyAlignment="1">
      <alignment horizontal="left"/>
    </xf>
    <xf numFmtId="0" fontId="0" fillId="0" borderId="67" xfId="0" applyBorder="1" applyAlignment="1">
      <alignment horizontal="left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169" fontId="0" fillId="0" borderId="103" xfId="0" applyNumberFormat="1" applyFont="1" applyFill="1" applyBorder="1" applyAlignment="1">
      <alignment horizontal="center" vertical="center"/>
    </xf>
    <xf numFmtId="169" fontId="0" fillId="0" borderId="101" xfId="0" applyNumberFormat="1" applyFont="1" applyFill="1" applyBorder="1" applyAlignment="1">
      <alignment horizontal="center" vertical="center"/>
    </xf>
    <xf numFmtId="169" fontId="0" fillId="0" borderId="9" xfId="0" applyNumberFormat="1" applyFont="1" applyFill="1" applyBorder="1" applyAlignment="1">
      <alignment horizontal="center" vertical="center"/>
    </xf>
    <xf numFmtId="169" fontId="0" fillId="0" borderId="17" xfId="0" applyNumberFormat="1" applyFont="1" applyFill="1" applyBorder="1" applyAlignment="1">
      <alignment horizontal="center" vertical="center"/>
    </xf>
    <xf numFmtId="169" fontId="1" fillId="0" borderId="55" xfId="0" applyNumberFormat="1" applyFont="1" applyFill="1" applyBorder="1" applyAlignment="1">
      <alignment horizontal="center" vertical="center"/>
    </xf>
    <xf numFmtId="169" fontId="1" fillId="17" borderId="153" xfId="0" applyNumberFormat="1" applyFont="1" applyFill="1" applyBorder="1" applyAlignment="1">
      <alignment horizontal="center" vertical="center"/>
    </xf>
    <xf numFmtId="169" fontId="0" fillId="0" borderId="22" xfId="0" applyNumberFormat="1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169" fontId="0" fillId="0" borderId="22" xfId="0" applyNumberFormat="1" applyFill="1" applyBorder="1" applyAlignment="1">
      <alignment horizontal="center" vertical="center" wrapText="1"/>
    </xf>
    <xf numFmtId="0" fontId="1" fillId="15" borderId="57" xfId="0" applyFont="1" applyFill="1" applyBorder="1" applyAlignment="1">
      <alignment horizontal="center"/>
    </xf>
    <xf numFmtId="0" fontId="1" fillId="15" borderId="35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169" fontId="1" fillId="3" borderId="152" xfId="0" applyNumberFormat="1" applyFont="1" applyFill="1" applyBorder="1" applyAlignment="1">
      <alignment horizontal="center" vertical="center"/>
    </xf>
    <xf numFmtId="0" fontId="1" fillId="15" borderId="27" xfId="0" applyFont="1" applyFill="1" applyBorder="1" applyAlignment="1">
      <alignment horizontal="center" vertical="center"/>
    </xf>
    <xf numFmtId="0" fontId="1" fillId="15" borderId="23" xfId="0" applyFont="1" applyFill="1" applyBorder="1" applyAlignment="1">
      <alignment horizontal="center" vertical="center"/>
    </xf>
    <xf numFmtId="169" fontId="0" fillId="0" borderId="0" xfId="0" applyNumberFormat="1" applyAlignment="1">
      <alignment horizontal="left"/>
    </xf>
    <xf numFmtId="0" fontId="10" fillId="0" borderId="154" xfId="0" applyFont="1" applyBorder="1" applyAlignment="1">
      <alignment vertical="top"/>
    </xf>
    <xf numFmtId="0" fontId="10" fillId="0" borderId="155" xfId="0" applyFont="1" applyBorder="1" applyAlignment="1">
      <alignment horizontal="center" vertical="center"/>
    </xf>
    <xf numFmtId="0" fontId="11" fillId="0" borderId="156" xfId="1" applyFont="1" applyBorder="1" applyAlignment="1">
      <alignment vertical="top"/>
    </xf>
    <xf numFmtId="0" fontId="10" fillId="0" borderId="157" xfId="0" applyFont="1" applyBorder="1" applyAlignment="1">
      <alignment horizontal="center" vertical="center"/>
    </xf>
    <xf numFmtId="0" fontId="10" fillId="0" borderId="156" xfId="0" applyFont="1" applyBorder="1" applyAlignment="1">
      <alignment vertical="top"/>
    </xf>
    <xf numFmtId="0" fontId="10" fillId="3" borderId="156" xfId="0" applyFont="1" applyFill="1" applyBorder="1" applyAlignment="1">
      <alignment vertical="top"/>
    </xf>
    <xf numFmtId="0" fontId="10" fillId="3" borderId="157" xfId="0" applyFont="1" applyFill="1" applyBorder="1" applyAlignment="1">
      <alignment horizontal="center" vertical="center"/>
    </xf>
    <xf numFmtId="0" fontId="10" fillId="0" borderId="158" xfId="0" applyFont="1" applyBorder="1" applyAlignment="1">
      <alignment vertical="top"/>
    </xf>
    <xf numFmtId="0" fontId="10" fillId="0" borderId="15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9" fontId="1" fillId="0" borderId="0" xfId="0" applyNumberFormat="1" applyFont="1" applyAlignment="1">
      <alignment horizontal="left"/>
    </xf>
    <xf numFmtId="169" fontId="0" fillId="0" borderId="0" xfId="0" applyNumberFormat="1" applyFont="1" applyBorder="1" applyAlignment="1">
      <alignment horizontal="center"/>
    </xf>
    <xf numFmtId="169" fontId="0" fillId="0" borderId="0" xfId="0" applyNumberFormat="1" applyFont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169" fontId="1" fillId="0" borderId="31" xfId="0" applyNumberFormat="1" applyFont="1" applyFill="1" applyBorder="1" applyAlignment="1">
      <alignment horizontal="center" vertical="center"/>
    </xf>
    <xf numFmtId="0" fontId="0" fillId="0" borderId="69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0" fillId="0" borderId="93" xfId="0" applyBorder="1" applyAlignment="1">
      <alignment horizontal="left" vertical="center"/>
    </xf>
    <xf numFmtId="0" fontId="0" fillId="0" borderId="94" xfId="0" applyBorder="1" applyAlignment="1">
      <alignment horizontal="left" vertical="center"/>
    </xf>
    <xf numFmtId="172" fontId="0" fillId="0" borderId="164" xfId="4" applyNumberFormat="1" applyFont="1" applyBorder="1" applyAlignment="1"/>
    <xf numFmtId="172" fontId="0" fillId="0" borderId="166" xfId="4" applyNumberFormat="1" applyFont="1" applyBorder="1" applyAlignment="1"/>
    <xf numFmtId="172" fontId="0" fillId="0" borderId="163" xfId="0" applyNumberFormat="1" applyBorder="1" applyAlignment="1"/>
    <xf numFmtId="0" fontId="0" fillId="0" borderId="167" xfId="0" applyBorder="1" applyAlignment="1"/>
    <xf numFmtId="0" fontId="0" fillId="0" borderId="168" xfId="0" applyBorder="1" applyAlignment="1"/>
    <xf numFmtId="0" fontId="0" fillId="0" borderId="169" xfId="0" applyBorder="1" applyAlignment="1"/>
    <xf numFmtId="0" fontId="0" fillId="0" borderId="170" xfId="0" applyBorder="1" applyAlignment="1"/>
    <xf numFmtId="0" fontId="0" fillId="0" borderId="32" xfId="0" applyBorder="1" applyAlignment="1"/>
    <xf numFmtId="1" fontId="29" fillId="16" borderId="95" xfId="7" applyNumberFormat="1" applyFont="1" applyFill="1" applyBorder="1" applyAlignment="1">
      <alignment horizontal="center" vertical="center"/>
    </xf>
    <xf numFmtId="1" fontId="1" fillId="0" borderId="96" xfId="0" applyNumberFormat="1" applyFont="1" applyBorder="1" applyAlignment="1">
      <alignment horizontal="center" vertical="center"/>
    </xf>
    <xf numFmtId="9" fontId="0" fillId="0" borderId="71" xfId="4" applyFont="1" applyBorder="1" applyAlignment="1">
      <alignment horizontal="center"/>
    </xf>
    <xf numFmtId="168" fontId="4" fillId="0" borderId="79" xfId="0" applyNumberFormat="1" applyFont="1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168" fontId="4" fillId="0" borderId="2" xfId="0" applyNumberFormat="1" applyFont="1" applyBorder="1" applyAlignment="1">
      <alignment horizontal="center" vertical="center"/>
    </xf>
    <xf numFmtId="169" fontId="4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9" fontId="4" fillId="0" borderId="172" xfId="0" applyNumberFormat="1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0" fillId="0" borderId="175" xfId="0" applyBorder="1" applyAlignment="1">
      <alignment horizontal="center"/>
    </xf>
    <xf numFmtId="0" fontId="0" fillId="0" borderId="176" xfId="0" applyBorder="1" applyAlignment="1">
      <alignment horizontal="center"/>
    </xf>
    <xf numFmtId="0" fontId="0" fillId="0" borderId="177" xfId="0" applyBorder="1" applyAlignment="1">
      <alignment horizontal="center"/>
    </xf>
    <xf numFmtId="0" fontId="0" fillId="0" borderId="111" xfId="0" applyBorder="1"/>
    <xf numFmtId="172" fontId="0" fillId="0" borderId="112" xfId="4" applyNumberFormat="1" applyFont="1" applyBorder="1" applyAlignment="1">
      <alignment horizontal="center" vertical="center"/>
    </xf>
    <xf numFmtId="0" fontId="0" fillId="0" borderId="105" xfId="0" applyBorder="1"/>
    <xf numFmtId="172" fontId="0" fillId="0" borderId="106" xfId="4" applyNumberFormat="1" applyFont="1" applyBorder="1" applyAlignment="1">
      <alignment horizontal="center" vertical="center"/>
    </xf>
    <xf numFmtId="0" fontId="0" fillId="10" borderId="105" xfId="0" applyFill="1" applyBorder="1"/>
    <xf numFmtId="172" fontId="0" fillId="10" borderId="106" xfId="4" applyNumberFormat="1" applyFont="1" applyFill="1" applyBorder="1" applyAlignment="1">
      <alignment horizontal="center" vertical="center"/>
    </xf>
    <xf numFmtId="0" fontId="0" fillId="10" borderId="178" xfId="0" applyFill="1" applyBorder="1"/>
    <xf numFmtId="172" fontId="0" fillId="10" borderId="180" xfId="4" applyNumberFormat="1" applyFont="1" applyFill="1" applyBorder="1" applyAlignment="1">
      <alignment horizontal="center" vertical="center"/>
    </xf>
    <xf numFmtId="0" fontId="0" fillId="10" borderId="16" xfId="0" applyFill="1" applyBorder="1"/>
    <xf numFmtId="172" fontId="0" fillId="10" borderId="17" xfId="4" applyNumberFormat="1" applyFont="1" applyFill="1" applyBorder="1" applyAlignment="1">
      <alignment horizontal="center" vertical="center"/>
    </xf>
    <xf numFmtId="0" fontId="0" fillId="0" borderId="110" xfId="0" applyBorder="1"/>
    <xf numFmtId="172" fontId="0" fillId="0" borderId="109" xfId="4" applyNumberFormat="1" applyFont="1" applyBorder="1" applyAlignment="1">
      <alignment horizontal="center" vertical="center"/>
    </xf>
    <xf numFmtId="0" fontId="0" fillId="0" borderId="107" xfId="0" applyBorder="1"/>
    <xf numFmtId="172" fontId="0" fillId="0" borderId="108" xfId="4" applyNumberFormat="1" applyFont="1" applyBorder="1" applyAlignment="1">
      <alignment horizontal="center" vertical="center"/>
    </xf>
    <xf numFmtId="0" fontId="1" fillId="0" borderId="82" xfId="0" applyFont="1" applyBorder="1" applyAlignment="1">
      <alignment horizontal="center" vertical="center"/>
    </xf>
    <xf numFmtId="172" fontId="1" fillId="20" borderId="27" xfId="0" applyNumberFormat="1" applyFont="1" applyFill="1" applyBorder="1"/>
    <xf numFmtId="0" fontId="1" fillId="20" borderId="23" xfId="0" applyFont="1" applyFill="1" applyBorder="1"/>
    <xf numFmtId="172" fontId="0" fillId="21" borderId="95" xfId="4" applyNumberFormat="1" applyFont="1" applyFill="1" applyBorder="1" applyAlignment="1">
      <alignment horizontal="center"/>
    </xf>
    <xf numFmtId="0" fontId="18" fillId="0" borderId="103" xfId="0" applyFont="1" applyBorder="1"/>
    <xf numFmtId="3" fontId="0" fillId="0" borderId="143" xfId="3" applyNumberFormat="1" applyFont="1" applyBorder="1" applyAlignment="1">
      <alignment horizontal="center"/>
    </xf>
    <xf numFmtId="3" fontId="0" fillId="0" borderId="144" xfId="3" applyNumberFormat="1" applyFont="1" applyBorder="1" applyAlignment="1">
      <alignment horizontal="center"/>
    </xf>
    <xf numFmtId="3" fontId="0" fillId="10" borderId="144" xfId="3" applyNumberFormat="1" applyFont="1" applyFill="1" applyBorder="1" applyAlignment="1">
      <alignment horizontal="center"/>
    </xf>
    <xf numFmtId="3" fontId="0" fillId="10" borderId="179" xfId="3" applyNumberFormat="1" applyFont="1" applyFill="1" applyBorder="1" applyAlignment="1">
      <alignment horizontal="center"/>
    </xf>
    <xf numFmtId="3" fontId="0" fillId="10" borderId="10" xfId="3" applyNumberFormat="1" applyFont="1" applyFill="1" applyBorder="1" applyAlignment="1">
      <alignment horizontal="center"/>
    </xf>
    <xf numFmtId="3" fontId="0" fillId="0" borderId="162" xfId="3" applyNumberFormat="1" applyFont="1" applyBorder="1" applyAlignment="1">
      <alignment horizontal="center"/>
    </xf>
    <xf numFmtId="3" fontId="0" fillId="0" borderId="145" xfId="3" applyNumberFormat="1" applyFont="1" applyBorder="1" applyAlignment="1">
      <alignment horizontal="center"/>
    </xf>
    <xf numFmtId="0" fontId="0" fillId="0" borderId="178" xfId="0" applyBorder="1"/>
    <xf numFmtId="3" fontId="0" fillId="0" borderId="179" xfId="3" applyNumberFormat="1" applyFont="1" applyBorder="1" applyAlignment="1">
      <alignment horizontal="center"/>
    </xf>
    <xf numFmtId="172" fontId="0" fillId="0" borderId="180" xfId="4" applyNumberFormat="1" applyFont="1" applyBorder="1" applyAlignment="1">
      <alignment horizontal="center" vertical="center"/>
    </xf>
    <xf numFmtId="0" fontId="0" fillId="10" borderId="181" xfId="0" applyFill="1" applyBorder="1"/>
    <xf numFmtId="3" fontId="0" fillId="10" borderId="165" xfId="3" applyNumberFormat="1" applyFont="1" applyFill="1" applyBorder="1" applyAlignment="1">
      <alignment horizontal="center"/>
    </xf>
    <xf numFmtId="172" fontId="0" fillId="10" borderId="182" xfId="4" applyNumberFormat="1" applyFont="1" applyFill="1" applyBorder="1" applyAlignment="1">
      <alignment horizontal="center" vertical="center"/>
    </xf>
    <xf numFmtId="0" fontId="0" fillId="10" borderId="183" xfId="0" applyFill="1" applyBorder="1"/>
    <xf numFmtId="3" fontId="0" fillId="10" borderId="184" xfId="3" applyNumberFormat="1" applyFont="1" applyFill="1" applyBorder="1" applyAlignment="1">
      <alignment horizontal="center"/>
    </xf>
    <xf numFmtId="172" fontId="0" fillId="10" borderId="185" xfId="4" applyNumberFormat="1" applyFont="1" applyFill="1" applyBorder="1" applyAlignment="1">
      <alignment horizontal="center" vertical="center"/>
    </xf>
    <xf numFmtId="1" fontId="0" fillId="11" borderId="72" xfId="0" applyNumberFormat="1" applyFill="1" applyBorder="1" applyAlignment="1">
      <alignment horizontal="center" vertical="center"/>
    </xf>
    <xf numFmtId="1" fontId="0" fillId="11" borderId="73" xfId="0" applyNumberFormat="1" applyFill="1" applyBorder="1" applyAlignment="1">
      <alignment horizontal="center" vertical="center"/>
    </xf>
    <xf numFmtId="1" fontId="0" fillId="11" borderId="74" xfId="0" applyNumberFormat="1" applyFill="1" applyBorder="1" applyAlignment="1">
      <alignment horizontal="center" vertical="center"/>
    </xf>
    <xf numFmtId="1" fontId="0" fillId="11" borderId="78" xfId="0" applyNumberFormat="1" applyFill="1" applyBorder="1" applyAlignment="1">
      <alignment horizontal="center" vertical="center"/>
    </xf>
    <xf numFmtId="1" fontId="0" fillId="11" borderId="79" xfId="0" applyNumberFormat="1" applyFill="1" applyBorder="1" applyAlignment="1">
      <alignment horizontal="center" vertical="center"/>
    </xf>
    <xf numFmtId="1" fontId="0" fillId="11" borderId="80" xfId="0" applyNumberFormat="1" applyFill="1" applyBorder="1" applyAlignment="1">
      <alignment horizontal="center" vertical="center"/>
    </xf>
    <xf numFmtId="3" fontId="0" fillId="0" borderId="111" xfId="3" applyNumberFormat="1" applyFont="1" applyBorder="1" applyAlignment="1">
      <alignment horizontal="center" vertical="center"/>
    </xf>
    <xf numFmtId="3" fontId="0" fillId="0" borderId="143" xfId="3" applyNumberFormat="1" applyFont="1" applyBorder="1" applyAlignment="1">
      <alignment horizontal="center" vertical="center"/>
    </xf>
    <xf numFmtId="3" fontId="0" fillId="0" borderId="112" xfId="3" applyNumberFormat="1" applyFont="1" applyBorder="1" applyAlignment="1">
      <alignment horizontal="center" vertical="center"/>
    </xf>
    <xf numFmtId="3" fontId="0" fillId="0" borderId="107" xfId="0" applyNumberFormat="1" applyBorder="1" applyAlignment="1">
      <alignment horizontal="center" vertical="center"/>
    </xf>
    <xf numFmtId="3" fontId="0" fillId="0" borderId="145" xfId="0" applyNumberFormat="1" applyBorder="1" applyAlignment="1">
      <alignment horizontal="center" vertical="center"/>
    </xf>
    <xf numFmtId="3" fontId="0" fillId="0" borderId="108" xfId="0" applyNumberFormat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165" fontId="0" fillId="0" borderId="150" xfId="0" applyNumberFormat="1" applyFill="1" applyBorder="1" applyAlignment="1">
      <alignment horizontal="center" vertical="center"/>
    </xf>
    <xf numFmtId="1" fontId="0" fillId="0" borderId="97" xfId="0" applyNumberFormat="1" applyFill="1" applyBorder="1" applyAlignment="1">
      <alignment horizontal="center" vertical="center"/>
    </xf>
    <xf numFmtId="1" fontId="0" fillId="0" borderId="186" xfId="0" applyNumberFormat="1" applyFill="1" applyBorder="1" applyAlignment="1">
      <alignment horizontal="center" vertical="center"/>
    </xf>
    <xf numFmtId="2" fontId="0" fillId="0" borderId="186" xfId="0" applyNumberFormat="1" applyFill="1" applyBorder="1" applyAlignment="1">
      <alignment horizontal="center" vertical="center"/>
    </xf>
    <xf numFmtId="165" fontId="0" fillId="0" borderId="186" xfId="0" applyNumberFormat="1" applyFill="1" applyBorder="1" applyAlignment="1">
      <alignment horizontal="center" vertical="center"/>
    </xf>
    <xf numFmtId="37" fontId="1" fillId="0" borderId="0" xfId="3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left" vertical="center"/>
    </xf>
    <xf numFmtId="1" fontId="0" fillId="0" borderId="105" xfId="0" applyNumberFormat="1" applyFill="1" applyBorder="1" applyAlignment="1">
      <alignment horizontal="center" vertical="center"/>
    </xf>
    <xf numFmtId="2" fontId="0" fillId="0" borderId="105" xfId="0" applyNumberFormat="1" applyFill="1" applyBorder="1" applyAlignment="1">
      <alignment horizontal="center" vertical="center"/>
    </xf>
    <xf numFmtId="165" fontId="0" fillId="0" borderId="105" xfId="0" applyNumberFormat="1" applyFill="1" applyBorder="1" applyAlignment="1">
      <alignment horizontal="center" vertical="center"/>
    </xf>
    <xf numFmtId="165" fontId="0" fillId="0" borderId="186" xfId="0" applyNumberFormat="1" applyBorder="1" applyAlignment="1">
      <alignment horizontal="center" vertical="center"/>
    </xf>
    <xf numFmtId="1" fontId="0" fillId="0" borderId="150" xfId="0" applyNumberFormat="1" applyFill="1" applyBorder="1" applyAlignment="1">
      <alignment horizontal="center" vertical="center"/>
    </xf>
    <xf numFmtId="2" fontId="0" fillId="0" borderId="150" xfId="0" applyNumberFormat="1" applyFill="1" applyBorder="1" applyAlignment="1">
      <alignment horizontal="center" vertical="center"/>
    </xf>
    <xf numFmtId="165" fontId="0" fillId="0" borderId="98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3" fontId="0" fillId="0" borderId="134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65" fontId="1" fillId="0" borderId="129" xfId="0" applyNumberFormat="1" applyFont="1" applyFill="1" applyBorder="1" applyAlignment="1">
      <alignment horizontal="center" vertical="center"/>
    </xf>
    <xf numFmtId="165" fontId="1" fillId="0" borderId="72" xfId="0" applyNumberFormat="1" applyFont="1" applyBorder="1" applyAlignment="1">
      <alignment horizontal="center" vertical="center"/>
    </xf>
    <xf numFmtId="165" fontId="1" fillId="0" borderId="142" xfId="0" applyNumberFormat="1" applyFont="1" applyBorder="1" applyAlignment="1">
      <alignment horizontal="center" vertical="center"/>
    </xf>
    <xf numFmtId="165" fontId="1" fillId="0" borderId="129" xfId="0" applyNumberFormat="1" applyFont="1" applyBorder="1" applyAlignment="1">
      <alignment horizontal="center" vertical="center"/>
    </xf>
    <xf numFmtId="1" fontId="0" fillId="0" borderId="111" xfId="0" applyNumberFormat="1" applyFill="1" applyBorder="1" applyAlignment="1">
      <alignment horizontal="center" vertical="center"/>
    </xf>
    <xf numFmtId="1" fontId="0" fillId="0" borderId="149" xfId="0" applyNumberFormat="1" applyFill="1" applyBorder="1" applyAlignment="1">
      <alignment horizontal="center" vertical="center"/>
    </xf>
    <xf numFmtId="2" fontId="0" fillId="0" borderId="107" xfId="0" applyNumberFormat="1" applyFill="1" applyBorder="1" applyAlignment="1">
      <alignment horizontal="center" vertical="center"/>
    </xf>
    <xf numFmtId="2" fontId="0" fillId="0" borderId="151" xfId="0" applyNumberFormat="1" applyFill="1" applyBorder="1" applyAlignment="1">
      <alignment horizontal="center" vertical="center"/>
    </xf>
    <xf numFmtId="2" fontId="0" fillId="0" borderId="98" xfId="0" applyNumberFormat="1" applyFill="1" applyBorder="1" applyAlignment="1">
      <alignment horizontal="center" vertical="center"/>
    </xf>
    <xf numFmtId="165" fontId="0" fillId="13" borderId="97" xfId="0" applyNumberFormat="1" applyFill="1" applyBorder="1" applyAlignment="1">
      <alignment horizontal="center" vertical="center"/>
    </xf>
    <xf numFmtId="2" fontId="0" fillId="13" borderId="111" xfId="0" applyNumberFormat="1" applyFill="1" applyBorder="1" applyAlignment="1">
      <alignment horizontal="center" vertical="center"/>
    </xf>
    <xf numFmtId="2" fontId="0" fillId="13" borderId="149" xfId="0" applyNumberFormat="1" applyFill="1" applyBorder="1" applyAlignment="1">
      <alignment horizontal="center" vertical="center"/>
    </xf>
    <xf numFmtId="2" fontId="0" fillId="13" borderId="97" xfId="0" applyNumberFormat="1" applyFill="1" applyBorder="1" applyAlignment="1">
      <alignment horizontal="center" vertical="center"/>
    </xf>
    <xf numFmtId="165" fontId="18" fillId="0" borderId="98" xfId="0" applyNumberFormat="1" applyFont="1" applyBorder="1" applyAlignment="1">
      <alignment horizontal="center" vertical="center"/>
    </xf>
    <xf numFmtId="2" fontId="18" fillId="0" borderId="107" xfId="0" applyNumberFormat="1" applyFont="1" applyFill="1" applyBorder="1" applyAlignment="1">
      <alignment horizontal="center" vertical="center"/>
    </xf>
    <xf numFmtId="2" fontId="18" fillId="0" borderId="151" xfId="0" applyNumberFormat="1" applyFont="1" applyFill="1" applyBorder="1" applyAlignment="1">
      <alignment horizontal="center" vertical="center"/>
    </xf>
    <xf numFmtId="2" fontId="18" fillId="0" borderId="98" xfId="0" applyNumberFormat="1" applyFont="1" applyFill="1" applyBorder="1" applyAlignment="1">
      <alignment horizontal="center" vertical="center"/>
    </xf>
    <xf numFmtId="165" fontId="0" fillId="13" borderId="15" xfId="0" applyNumberFormat="1" applyFill="1" applyBorder="1" applyAlignment="1">
      <alignment horizontal="center" vertical="center"/>
    </xf>
    <xf numFmtId="165" fontId="0" fillId="13" borderId="188" xfId="0" applyNumberFormat="1" applyFill="1" applyBorder="1" applyAlignment="1">
      <alignment horizontal="center" vertical="center"/>
    </xf>
    <xf numFmtId="165" fontId="0" fillId="0" borderId="111" xfId="0" applyNumberFormat="1" applyFill="1" applyBorder="1" applyAlignment="1">
      <alignment horizontal="center" vertical="center"/>
    </xf>
    <xf numFmtId="165" fontId="0" fillId="0" borderId="149" xfId="0" applyNumberFormat="1" applyFill="1" applyBorder="1" applyAlignment="1">
      <alignment horizontal="center" vertical="center"/>
    </xf>
    <xf numFmtId="165" fontId="0" fillId="0" borderId="97" xfId="0" applyNumberFormat="1" applyFill="1" applyBorder="1" applyAlignment="1">
      <alignment horizontal="center" vertical="center"/>
    </xf>
    <xf numFmtId="0" fontId="9" fillId="13" borderId="160" xfId="0" applyFont="1" applyFill="1" applyBorder="1" applyAlignment="1">
      <alignment horizontal="center" vertical="center"/>
    </xf>
    <xf numFmtId="0" fontId="9" fillId="13" borderId="161" xfId="0" applyFont="1" applyFill="1" applyBorder="1" applyAlignment="1">
      <alignment horizontal="center" vertical="center" wrapText="1"/>
    </xf>
    <xf numFmtId="42" fontId="4" fillId="0" borderId="106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10" xfId="0" applyFont="1" applyBorder="1" applyAlignment="1">
      <alignment horizontal="right"/>
    </xf>
    <xf numFmtId="0" fontId="0" fillId="0" borderId="109" xfId="0" applyFont="1" applyBorder="1" applyAlignment="1">
      <alignment horizontal="center" vertical="center"/>
    </xf>
    <xf numFmtId="0" fontId="0" fillId="0" borderId="105" xfId="0" applyFont="1" applyBorder="1" applyAlignment="1">
      <alignment horizontal="right"/>
    </xf>
    <xf numFmtId="0" fontId="0" fillId="0" borderId="107" xfId="0" applyFont="1" applyBorder="1" applyAlignment="1">
      <alignment horizontal="right"/>
    </xf>
    <xf numFmtId="0" fontId="0" fillId="0" borderId="106" xfId="0" applyFont="1" applyBorder="1" applyAlignment="1">
      <alignment horizontal="right" vertical="center"/>
    </xf>
    <xf numFmtId="42" fontId="0" fillId="0" borderId="106" xfId="0" applyNumberFormat="1" applyFont="1" applyBorder="1" applyAlignment="1">
      <alignment horizontal="right" vertical="center"/>
    </xf>
    <xf numFmtId="0" fontId="4" fillId="0" borderId="105" xfId="0" applyFont="1" applyBorder="1" applyAlignment="1">
      <alignment horizontal="right"/>
    </xf>
    <xf numFmtId="0" fontId="0" fillId="0" borderId="178" xfId="0" applyFont="1" applyBorder="1" applyAlignment="1">
      <alignment horizontal="right"/>
    </xf>
    <xf numFmtId="42" fontId="0" fillId="0" borderId="180" xfId="0" applyNumberFormat="1" applyFont="1" applyBorder="1" applyAlignment="1">
      <alignment horizontal="right" vertical="center"/>
    </xf>
    <xf numFmtId="44" fontId="0" fillId="3" borderId="108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3" fontId="0" fillId="0" borderId="20" xfId="3" applyNumberFormat="1" applyFont="1" applyFill="1" applyBorder="1" applyAlignment="1">
      <alignment horizontal="center" vertical="center"/>
    </xf>
    <xf numFmtId="3" fontId="1" fillId="15" borderId="56" xfId="0" applyNumberFormat="1" applyFont="1" applyFill="1" applyBorder="1" applyAlignment="1">
      <alignment horizontal="center"/>
    </xf>
    <xf numFmtId="0" fontId="0" fillId="15" borderId="89" xfId="0" applyFill="1" applyBorder="1" applyAlignment="1">
      <alignment horizontal="center" vertical="center" wrapText="1"/>
    </xf>
    <xf numFmtId="3" fontId="1" fillId="15" borderId="24" xfId="0" applyNumberFormat="1" applyFont="1" applyFill="1" applyBorder="1" applyAlignment="1">
      <alignment horizontal="center"/>
    </xf>
    <xf numFmtId="169" fontId="0" fillId="0" borderId="24" xfId="0" applyNumberForma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3" fontId="0" fillId="0" borderId="147" xfId="0" applyNumberFormat="1" applyBorder="1" applyAlignment="1">
      <alignment horizontal="center" vertical="center"/>
    </xf>
    <xf numFmtId="9" fontId="0" fillId="0" borderId="140" xfId="4" applyFont="1" applyBorder="1" applyAlignment="1">
      <alignment horizontal="center" vertical="center"/>
    </xf>
    <xf numFmtId="169" fontId="0" fillId="0" borderId="94" xfId="0" applyNumberFormat="1" applyBorder="1" applyAlignment="1">
      <alignment horizontal="center" vertical="center"/>
    </xf>
    <xf numFmtId="3" fontId="0" fillId="0" borderId="189" xfId="0" applyNumberFormat="1" applyBorder="1" applyAlignment="1">
      <alignment horizontal="center" vertical="center"/>
    </xf>
    <xf numFmtId="169" fontId="0" fillId="0" borderId="190" xfId="0" applyNumberFormat="1" applyBorder="1" applyAlignment="1">
      <alignment horizontal="center" vertical="center"/>
    </xf>
    <xf numFmtId="9" fontId="0" fillId="0" borderId="191" xfId="4" applyFont="1" applyBorder="1" applyAlignment="1">
      <alignment horizontal="center" vertical="center"/>
    </xf>
    <xf numFmtId="169" fontId="0" fillId="0" borderId="27" xfId="0" applyNumberFormat="1" applyBorder="1" applyAlignment="1">
      <alignment horizontal="center" vertical="center"/>
    </xf>
    <xf numFmtId="3" fontId="0" fillId="10" borderId="148" xfId="0" applyNumberFormat="1" applyFill="1" applyBorder="1" applyAlignment="1">
      <alignment horizontal="center" vertical="center"/>
    </xf>
    <xf numFmtId="169" fontId="0" fillId="10" borderId="131" xfId="0" applyNumberFormat="1" applyFill="1" applyBorder="1" applyAlignment="1">
      <alignment horizontal="center" vertical="center"/>
    </xf>
    <xf numFmtId="9" fontId="0" fillId="10" borderId="141" xfId="4" applyFont="1" applyFill="1" applyBorder="1" applyAlignment="1">
      <alignment horizontal="center" vertical="center"/>
    </xf>
    <xf numFmtId="167" fontId="14" fillId="7" borderId="77" xfId="0" applyNumberFormat="1" applyFont="1" applyFill="1" applyBorder="1" applyAlignment="1">
      <alignment horizontal="center" vertical="center"/>
    </xf>
    <xf numFmtId="0" fontId="15" fillId="0" borderId="76" xfId="0" applyFont="1" applyBorder="1" applyAlignment="1">
      <alignment horizontal="right" vertical="center"/>
    </xf>
    <xf numFmtId="167" fontId="15" fillId="0" borderId="77" xfId="0" applyNumberFormat="1" applyFont="1" applyBorder="1" applyAlignment="1">
      <alignment horizontal="center" vertical="center"/>
    </xf>
    <xf numFmtId="167" fontId="16" fillId="0" borderId="76" xfId="0" applyNumberFormat="1" applyFont="1" applyBorder="1" applyAlignment="1">
      <alignment horizontal="left" vertical="center"/>
    </xf>
    <xf numFmtId="167" fontId="14" fillId="8" borderId="77" xfId="0" applyNumberFormat="1" applyFont="1" applyFill="1" applyBorder="1" applyAlignment="1">
      <alignment horizontal="center" vertical="center"/>
    </xf>
    <xf numFmtId="167" fontId="14" fillId="0" borderId="76" xfId="0" applyNumberFormat="1" applyFont="1" applyBorder="1" applyAlignment="1">
      <alignment horizontal="right" vertical="center"/>
    </xf>
    <xf numFmtId="0" fontId="14" fillId="0" borderId="76" xfId="0" applyFont="1" applyBorder="1" applyAlignment="1">
      <alignment horizontal="right" vertical="center"/>
    </xf>
    <xf numFmtId="174" fontId="14" fillId="7" borderId="77" xfId="5" applyNumberFormat="1" applyFont="1" applyFill="1" applyBorder="1" applyAlignment="1">
      <alignment horizontal="center" vertical="center"/>
    </xf>
    <xf numFmtId="0" fontId="14" fillId="0" borderId="76" xfId="0" applyFont="1" applyFill="1" applyBorder="1" applyAlignment="1">
      <alignment horizontal="right" vertical="center"/>
    </xf>
    <xf numFmtId="167" fontId="14" fillId="13" borderId="77" xfId="0" applyNumberFormat="1" applyFont="1" applyFill="1" applyBorder="1" applyAlignment="1">
      <alignment horizontal="center" vertical="center"/>
    </xf>
    <xf numFmtId="167" fontId="14" fillId="0" borderId="77" xfId="0" applyNumberFormat="1" applyFont="1" applyBorder="1" applyAlignment="1">
      <alignment horizontal="center" vertical="center"/>
    </xf>
    <xf numFmtId="167" fontId="15" fillId="0" borderId="76" xfId="0" applyNumberFormat="1" applyFont="1" applyBorder="1" applyAlignment="1">
      <alignment horizontal="right" vertical="center"/>
    </xf>
    <xf numFmtId="0" fontId="16" fillId="0" borderId="76" xfId="0" applyFont="1" applyBorder="1" applyAlignment="1">
      <alignment horizontal="center" vertical="center"/>
    </xf>
    <xf numFmtId="167" fontId="16" fillId="0" borderId="77" xfId="0" applyNumberFormat="1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2" fontId="8" fillId="9" borderId="80" xfId="2" applyNumberFormat="1" applyFont="1" applyFill="1" applyBorder="1" applyAlignment="1">
      <alignment horizontal="center" vertical="center"/>
    </xf>
    <xf numFmtId="0" fontId="12" fillId="0" borderId="72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2" fontId="28" fillId="17" borderId="68" xfId="6" applyNumberFormat="1" applyFont="1" applyFill="1" applyBorder="1" applyAlignment="1">
      <alignment horizontal="center" vertical="center"/>
    </xf>
    <xf numFmtId="10" fontId="0" fillId="0" borderId="27" xfId="4" applyNumberFormat="1" applyFont="1" applyFill="1" applyBorder="1" applyAlignment="1">
      <alignment horizontal="center" vertical="center"/>
    </xf>
    <xf numFmtId="3" fontId="0" fillId="0" borderId="26" xfId="0" applyNumberFormat="1" applyFont="1" applyFill="1" applyBorder="1" applyAlignment="1">
      <alignment horizontal="left" vertical="center"/>
    </xf>
    <xf numFmtId="3" fontId="0" fillId="0" borderId="27" xfId="0" applyNumberFormat="1" applyFont="1" applyFill="1" applyBorder="1" applyAlignment="1">
      <alignment horizontal="center" vertical="center"/>
    </xf>
    <xf numFmtId="170" fontId="0" fillId="0" borderId="31" xfId="0" applyNumberFormat="1" applyFont="1" applyFill="1" applyBorder="1" applyAlignment="1">
      <alignment horizontal="center" vertical="center"/>
    </xf>
    <xf numFmtId="170" fontId="0" fillId="8" borderId="129" xfId="0" applyNumberFormat="1" applyFont="1" applyFill="1" applyBorder="1" applyAlignment="1">
      <alignment horizontal="center" vertical="center"/>
    </xf>
    <xf numFmtId="170" fontId="0" fillId="11" borderId="92" xfId="0" applyNumberFormat="1" applyFont="1" applyFill="1" applyBorder="1" applyAlignment="1">
      <alignment horizontal="center" vertical="center"/>
    </xf>
    <xf numFmtId="170" fontId="1" fillId="11" borderId="92" xfId="0" applyNumberFormat="1" applyFont="1" applyFill="1" applyBorder="1" applyAlignment="1">
      <alignment horizontal="center" vertical="center"/>
    </xf>
    <xf numFmtId="3" fontId="30" fillId="10" borderId="45" xfId="0" applyNumberFormat="1" applyFont="1" applyFill="1" applyBorder="1" applyAlignment="1">
      <alignment horizontal="center" vertical="center"/>
    </xf>
    <xf numFmtId="3" fontId="0" fillId="11" borderId="143" xfId="0" applyNumberFormat="1" applyFill="1" applyBorder="1" applyAlignment="1">
      <alignment horizontal="center" vertical="center"/>
    </xf>
    <xf numFmtId="10" fontId="0" fillId="11" borderId="143" xfId="4" applyNumberFormat="1" applyFont="1" applyFill="1" applyBorder="1" applyAlignment="1">
      <alignment horizontal="center" vertical="center"/>
    </xf>
    <xf numFmtId="3" fontId="0" fillId="11" borderId="144" xfId="0" applyNumberFormat="1" applyFill="1" applyBorder="1" applyAlignment="1">
      <alignment horizontal="center" vertical="center"/>
    </xf>
    <xf numFmtId="10" fontId="0" fillId="11" borderId="144" xfId="4" applyNumberFormat="1" applyFont="1" applyFill="1" applyBorder="1" applyAlignment="1">
      <alignment horizontal="center" vertical="center"/>
    </xf>
    <xf numFmtId="170" fontId="0" fillId="0" borderId="106" xfId="0" applyNumberFormat="1" applyFont="1" applyFill="1" applyBorder="1" applyAlignment="1">
      <alignment horizontal="center" vertical="center"/>
    </xf>
    <xf numFmtId="3" fontId="0" fillId="11" borderId="145" xfId="0" applyNumberFormat="1" applyFill="1" applyBorder="1" applyAlignment="1">
      <alignment horizontal="center" vertical="center"/>
    </xf>
    <xf numFmtId="10" fontId="0" fillId="11" borderId="145" xfId="4" applyNumberFormat="1" applyFont="1" applyFill="1" applyBorder="1" applyAlignment="1">
      <alignment horizontal="center" vertical="center"/>
    </xf>
    <xf numFmtId="170" fontId="0" fillId="0" borderId="112" xfId="0" applyNumberFormat="1" applyFont="1" applyFill="1" applyBorder="1" applyAlignment="1">
      <alignment horizontal="center" vertical="center"/>
    </xf>
    <xf numFmtId="170" fontId="0" fillId="0" borderId="108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0" fontId="0" fillId="0" borderId="140" xfId="0" applyNumberFormat="1" applyFont="1" applyFill="1" applyBorder="1" applyAlignment="1">
      <alignment horizontal="center" vertical="center"/>
    </xf>
    <xf numFmtId="3" fontId="0" fillId="11" borderId="143" xfId="0" applyNumberFormat="1" applyFont="1" applyFill="1" applyBorder="1" applyAlignment="1">
      <alignment horizontal="center" vertical="center"/>
    </xf>
    <xf numFmtId="3" fontId="0" fillId="11" borderId="145" xfId="0" applyNumberFormat="1" applyFont="1" applyFill="1" applyBorder="1" applyAlignment="1">
      <alignment horizontal="center" vertical="center"/>
    </xf>
    <xf numFmtId="10" fontId="0" fillId="11" borderId="25" xfId="4" applyNumberFormat="1" applyFont="1" applyFill="1" applyBorder="1" applyAlignment="1">
      <alignment horizontal="center" vertical="center"/>
    </xf>
    <xf numFmtId="3" fontId="0" fillId="11" borderId="25" xfId="0" applyNumberFormat="1" applyFill="1" applyBorder="1" applyAlignment="1">
      <alignment horizontal="center" vertical="center"/>
    </xf>
    <xf numFmtId="170" fontId="0" fillId="0" borderId="2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0" fontId="0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Fill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27" xfId="0" applyFill="1" applyBorder="1" applyAlignment="1">
      <alignment horizontal="center" vertical="center"/>
    </xf>
    <xf numFmtId="0" fontId="1" fillId="13" borderId="31" xfId="0" applyFont="1" applyFill="1" applyBorder="1" applyAlignment="1">
      <alignment horizontal="center" vertical="center" wrapText="1"/>
    </xf>
    <xf numFmtId="3" fontId="5" fillId="3" borderId="31" xfId="0" applyNumberFormat="1" applyFont="1" applyFill="1" applyBorder="1" applyAlignment="1">
      <alignment horizontal="center" vertical="center"/>
    </xf>
    <xf numFmtId="172" fontId="0" fillId="22" borderId="95" xfId="4" applyNumberFormat="1" applyFont="1" applyFill="1" applyBorder="1" applyAlignment="1">
      <alignment horizontal="center"/>
    </xf>
    <xf numFmtId="172" fontId="1" fillId="22" borderId="27" xfId="0" applyNumberFormat="1" applyFont="1" applyFill="1" applyBorder="1"/>
    <xf numFmtId="0" fontId="1" fillId="22" borderId="23" xfId="0" applyFont="1" applyFill="1" applyBorder="1"/>
    <xf numFmtId="0" fontId="20" fillId="0" borderId="0" xfId="0" applyFont="1"/>
    <xf numFmtId="0" fontId="5" fillId="0" borderId="15" xfId="0" applyFont="1" applyBorder="1" applyAlignment="1">
      <alignment horizontal="center" vertical="center" wrapText="1"/>
    </xf>
    <xf numFmtId="44" fontId="5" fillId="0" borderId="25" xfId="0" applyNumberFormat="1" applyFont="1" applyBorder="1" applyAlignment="1">
      <alignment vertical="center"/>
    </xf>
    <xf numFmtId="44" fontId="5" fillId="3" borderId="22" xfId="0" applyNumberFormat="1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44" fontId="5" fillId="0" borderId="7" xfId="0" applyNumberFormat="1" applyFont="1" applyBorder="1"/>
    <xf numFmtId="44" fontId="5" fillId="0" borderId="0" xfId="0" applyNumberFormat="1" applyFont="1" applyBorder="1"/>
    <xf numFmtId="0" fontId="0" fillId="0" borderId="194" xfId="0" applyFont="1" applyBorder="1"/>
    <xf numFmtId="0" fontId="4" fillId="14" borderId="197" xfId="1" applyFont="1" applyFill="1" applyBorder="1"/>
    <xf numFmtId="0" fontId="0" fillId="14" borderId="200" xfId="0" applyFont="1" applyFill="1" applyBorder="1"/>
    <xf numFmtId="0" fontId="0" fillId="0" borderId="192" xfId="0" applyFont="1" applyBorder="1"/>
    <xf numFmtId="9" fontId="4" fillId="14" borderId="198" xfId="4" applyNumberFormat="1" applyFont="1" applyFill="1" applyBorder="1" applyAlignment="1">
      <alignment horizontal="center" vertical="center"/>
    </xf>
    <xf numFmtId="1" fontId="0" fillId="0" borderId="193" xfId="0" applyNumberFormat="1" applyFont="1" applyBorder="1" applyAlignment="1">
      <alignment horizontal="center" vertical="center"/>
    </xf>
    <xf numFmtId="0" fontId="4" fillId="0" borderId="105" xfId="1" applyFont="1" applyBorder="1"/>
    <xf numFmtId="9" fontId="4" fillId="0" borderId="144" xfId="4" applyFont="1" applyBorder="1"/>
    <xf numFmtId="0" fontId="0" fillId="0" borderId="0" xfId="0" applyFill="1" applyAlignment="1">
      <alignment horizontal="center" vertical="center" wrapText="1"/>
    </xf>
    <xf numFmtId="1" fontId="0" fillId="21" borderId="71" xfId="4" applyNumberFormat="1" applyFont="1" applyFill="1" applyBorder="1" applyAlignment="1">
      <alignment horizontal="center" vertical="center"/>
    </xf>
    <xf numFmtId="169" fontId="20" fillId="21" borderId="82" xfId="0" applyNumberFormat="1" applyFont="1" applyFill="1" applyBorder="1"/>
    <xf numFmtId="1" fontId="0" fillId="22" borderId="71" xfId="4" applyNumberFormat="1" applyFont="1" applyFill="1" applyBorder="1" applyAlignment="1">
      <alignment horizontal="center" vertical="center"/>
    </xf>
    <xf numFmtId="169" fontId="20" fillId="22" borderId="83" xfId="0" applyNumberFormat="1" applyFont="1" applyFill="1" applyBorder="1" applyAlignment="1">
      <alignment horizontal="center" vertical="center"/>
    </xf>
    <xf numFmtId="1" fontId="0" fillId="21" borderId="132" xfId="4" applyNumberFormat="1" applyFont="1" applyFill="1" applyBorder="1" applyAlignment="1">
      <alignment horizontal="center" vertical="center"/>
    </xf>
    <xf numFmtId="169" fontId="20" fillId="3" borderId="83" xfId="0" applyNumberFormat="1" applyFont="1" applyFill="1" applyBorder="1" applyAlignment="1">
      <alignment horizontal="center" vertical="center"/>
    </xf>
    <xf numFmtId="166" fontId="0" fillId="21" borderId="132" xfId="4" applyNumberFormat="1" applyFont="1" applyFill="1" applyBorder="1" applyAlignment="1">
      <alignment horizontal="center" vertical="center"/>
    </xf>
    <xf numFmtId="2" fontId="0" fillId="21" borderId="71" xfId="4" applyNumberFormat="1" applyFont="1" applyFill="1" applyBorder="1" applyAlignment="1">
      <alignment horizontal="center" vertical="center"/>
    </xf>
    <xf numFmtId="173" fontId="4" fillId="23" borderId="201" xfId="0" applyNumberFormat="1" applyFont="1" applyFill="1" applyBorder="1" applyAlignment="1">
      <alignment horizontal="center" vertical="center"/>
    </xf>
    <xf numFmtId="37" fontId="4" fillId="22" borderId="195" xfId="0" applyNumberFormat="1" applyFont="1" applyFill="1" applyBorder="1" applyAlignment="1">
      <alignment horizontal="center" vertical="center"/>
    </xf>
    <xf numFmtId="173" fontId="4" fillId="21" borderId="143" xfId="0" applyNumberFormat="1" applyFont="1" applyFill="1" applyBorder="1"/>
    <xf numFmtId="37" fontId="4" fillId="22" borderId="144" xfId="0" applyNumberFormat="1" applyFont="1" applyFill="1" applyBorder="1"/>
    <xf numFmtId="44" fontId="5" fillId="0" borderId="143" xfId="0" applyNumberFormat="1" applyFont="1" applyBorder="1"/>
    <xf numFmtId="44" fontId="5" fillId="0" borderId="112" xfId="0" applyNumberFormat="1" applyFont="1" applyBorder="1"/>
    <xf numFmtId="0" fontId="5" fillId="0" borderId="107" xfId="0" applyFont="1" applyBorder="1" applyAlignment="1">
      <alignment horizontal="center" vertical="center" wrapText="1"/>
    </xf>
    <xf numFmtId="44" fontId="5" fillId="0" borderId="145" xfId="0" applyNumberFormat="1" applyFont="1" applyBorder="1" applyAlignment="1">
      <alignment vertical="center"/>
    </xf>
    <xf numFmtId="44" fontId="5" fillId="0" borderId="108" xfId="0" applyNumberFormat="1" applyFont="1" applyFill="1" applyBorder="1" applyAlignment="1">
      <alignment vertical="center"/>
    </xf>
    <xf numFmtId="0" fontId="5" fillId="0" borderId="111" xfId="0" applyFont="1" applyBorder="1" applyAlignment="1">
      <alignment horizontal="center" vertical="center" wrapText="1"/>
    </xf>
    <xf numFmtId="169" fontId="1" fillId="21" borderId="81" xfId="0" applyNumberFormat="1" applyFont="1" applyFill="1" applyBorder="1" applyAlignment="1">
      <alignment horizontal="center" vertical="center"/>
    </xf>
    <xf numFmtId="169" fontId="1" fillId="22" borderId="83" xfId="0" applyNumberFormat="1" applyFont="1" applyFill="1" applyBorder="1" applyAlignment="1">
      <alignment horizontal="center" vertical="center"/>
    </xf>
    <xf numFmtId="42" fontId="0" fillId="21" borderId="106" xfId="0" applyNumberFormat="1" applyFont="1" applyFill="1" applyBorder="1" applyAlignment="1">
      <alignment horizontal="right" vertical="center"/>
    </xf>
    <xf numFmtId="0" fontId="4" fillId="0" borderId="106" xfId="0" applyFont="1" applyBorder="1" applyAlignment="1">
      <alignment horizontal="center" vertical="center"/>
    </xf>
    <xf numFmtId="0" fontId="0" fillId="0" borderId="111" xfId="0" applyFont="1" applyBorder="1" applyAlignment="1">
      <alignment horizontal="right"/>
    </xf>
    <xf numFmtId="44" fontId="0" fillId="0" borderId="112" xfId="0" applyNumberFormat="1" applyFont="1" applyBorder="1" applyAlignment="1">
      <alignment horizontal="right" vertical="center"/>
    </xf>
    <xf numFmtId="4" fontId="0" fillId="0" borderId="0" xfId="0" applyNumberFormat="1" applyFill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 wrapText="1"/>
    </xf>
    <xf numFmtId="4" fontId="1" fillId="0" borderId="54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left" vertical="center"/>
    </xf>
    <xf numFmtId="4" fontId="0" fillId="0" borderId="0" xfId="0" applyNumberFormat="1" applyFill="1" applyAlignment="1">
      <alignment horizontal="left" vertical="center"/>
    </xf>
    <xf numFmtId="165" fontId="0" fillId="0" borderId="0" xfId="0" applyNumberFormat="1" applyFill="1" applyAlignment="1">
      <alignment horizontal="left" vertical="center"/>
    </xf>
    <xf numFmtId="4" fontId="2" fillId="0" borderId="0" xfId="0" applyNumberFormat="1" applyFont="1" applyFill="1" applyAlignment="1">
      <alignment horizontal="left" vertical="center"/>
    </xf>
    <xf numFmtId="165" fontId="2" fillId="0" borderId="0" xfId="0" applyNumberFormat="1" applyFont="1" applyFill="1" applyAlignment="1">
      <alignment horizontal="left" vertical="center"/>
    </xf>
    <xf numFmtId="4" fontId="2" fillId="0" borderId="0" xfId="0" applyNumberFormat="1" applyFont="1" applyFill="1" applyAlignment="1">
      <alignment horizontal="center" vertical="center"/>
    </xf>
    <xf numFmtId="0" fontId="16" fillId="0" borderId="76" xfId="0" applyFont="1" applyBorder="1" applyAlignment="1">
      <alignment vertical="center"/>
    </xf>
    <xf numFmtId="169" fontId="0" fillId="0" borderId="0" xfId="5" applyNumberFormat="1" applyFont="1" applyAlignment="1">
      <alignment horizontal="center"/>
    </xf>
    <xf numFmtId="0" fontId="13" fillId="6" borderId="76" xfId="0" applyFont="1" applyFill="1" applyBorder="1" applyAlignment="1">
      <alignment horizontal="center" vertical="center"/>
    </xf>
    <xf numFmtId="0" fontId="13" fillId="6" borderId="77" xfId="0" applyFont="1" applyFill="1" applyBorder="1" applyAlignment="1">
      <alignment horizontal="center" vertical="center"/>
    </xf>
    <xf numFmtId="0" fontId="16" fillId="0" borderId="76" xfId="0" applyFont="1" applyBorder="1" applyAlignment="1">
      <alignment vertical="center"/>
    </xf>
    <xf numFmtId="0" fontId="16" fillId="0" borderId="77" xfId="0" applyFont="1" applyBorder="1" applyAlignment="1">
      <alignment vertical="center"/>
    </xf>
    <xf numFmtId="167" fontId="16" fillId="0" borderId="76" xfId="0" applyNumberFormat="1" applyFont="1" applyBorder="1" applyAlignment="1">
      <alignment vertical="center"/>
    </xf>
    <xf numFmtId="167" fontId="16" fillId="0" borderId="77" xfId="0" applyNumberFormat="1" applyFont="1" applyBorder="1" applyAlignment="1">
      <alignment vertical="center"/>
    </xf>
    <xf numFmtId="3" fontId="1" fillId="13" borderId="26" xfId="0" applyNumberFormat="1" applyFont="1" applyFill="1" applyBorder="1" applyAlignment="1">
      <alignment horizontal="center"/>
    </xf>
    <xf numFmtId="3" fontId="1" fillId="13" borderId="27" xfId="0" applyNumberFormat="1" applyFont="1" applyFill="1" applyBorder="1" applyAlignment="1">
      <alignment horizontal="center"/>
    </xf>
    <xf numFmtId="3" fontId="1" fillId="13" borderId="23" xfId="0" applyNumberFormat="1" applyFont="1" applyFill="1" applyBorder="1" applyAlignment="1">
      <alignment horizontal="center"/>
    </xf>
    <xf numFmtId="0" fontId="1" fillId="10" borderId="26" xfId="0" applyFont="1" applyFill="1" applyBorder="1" applyAlignment="1">
      <alignment horizontal="center" vertical="center"/>
    </xf>
    <xf numFmtId="0" fontId="1" fillId="10" borderId="27" xfId="0" applyFont="1" applyFill="1" applyBorder="1" applyAlignment="1">
      <alignment horizontal="center" vertical="center"/>
    </xf>
    <xf numFmtId="0" fontId="1" fillId="10" borderId="23" xfId="0" applyFont="1" applyFill="1" applyBorder="1" applyAlignment="1">
      <alignment horizontal="center" vertical="center"/>
    </xf>
    <xf numFmtId="0" fontId="1" fillId="15" borderId="30" xfId="0" applyFont="1" applyFill="1" applyBorder="1" applyAlignment="1">
      <alignment horizontal="center" vertical="center"/>
    </xf>
    <xf numFmtId="0" fontId="1" fillId="15" borderId="35" xfId="0" applyFont="1" applyFill="1" applyBorder="1" applyAlignment="1">
      <alignment horizontal="center" vertical="center"/>
    </xf>
    <xf numFmtId="0" fontId="0" fillId="15" borderId="26" xfId="0" applyFont="1" applyFill="1" applyBorder="1" applyAlignment="1">
      <alignment horizontal="center"/>
    </xf>
    <xf numFmtId="0" fontId="0" fillId="15" borderId="27" xfId="0" applyFont="1" applyFill="1" applyBorder="1" applyAlignment="1">
      <alignment horizontal="center"/>
    </xf>
    <xf numFmtId="0" fontId="0" fillId="15" borderId="23" xfId="0" applyFont="1" applyFill="1" applyBorder="1" applyAlignment="1">
      <alignment horizontal="center"/>
    </xf>
    <xf numFmtId="169" fontId="1" fillId="15" borderId="26" xfId="0" applyNumberFormat="1" applyFont="1" applyFill="1" applyBorder="1" applyAlignment="1">
      <alignment horizontal="center"/>
    </xf>
    <xf numFmtId="169" fontId="1" fillId="15" borderId="27" xfId="0" applyNumberFormat="1" applyFont="1" applyFill="1" applyBorder="1" applyAlignment="1">
      <alignment horizontal="center"/>
    </xf>
    <xf numFmtId="169" fontId="1" fillId="15" borderId="23" xfId="0" applyNumberFormat="1" applyFont="1" applyFill="1" applyBorder="1" applyAlignment="1">
      <alignment horizontal="center"/>
    </xf>
    <xf numFmtId="0" fontId="1" fillId="10" borderId="26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3" xfId="0" applyBorder="1" applyAlignment="1">
      <alignment horizontal="center"/>
    </xf>
    <xf numFmtId="3" fontId="1" fillId="13" borderId="26" xfId="3" applyNumberFormat="1" applyFont="1" applyFill="1" applyBorder="1" applyAlignment="1" applyProtection="1">
      <alignment horizontal="center" vertical="center"/>
      <protection locked="0"/>
    </xf>
    <xf numFmtId="3" fontId="1" fillId="13" borderId="27" xfId="3" applyNumberFormat="1" applyFont="1" applyFill="1" applyBorder="1" applyAlignment="1" applyProtection="1">
      <alignment horizontal="center" vertical="center"/>
      <protection locked="0"/>
    </xf>
    <xf numFmtId="3" fontId="1" fillId="13" borderId="23" xfId="3" applyNumberFormat="1" applyFont="1" applyFill="1" applyBorder="1" applyAlignment="1" applyProtection="1">
      <alignment horizontal="center" vertical="center"/>
      <protection locked="0"/>
    </xf>
    <xf numFmtId="169" fontId="1" fillId="10" borderId="26" xfId="0" applyNumberFormat="1" applyFont="1" applyFill="1" applyBorder="1" applyAlignment="1">
      <alignment horizontal="center" vertical="center" wrapText="1"/>
    </xf>
    <xf numFmtId="169" fontId="1" fillId="10" borderId="27" xfId="0" applyNumberFormat="1" applyFont="1" applyFill="1" applyBorder="1" applyAlignment="1">
      <alignment horizontal="center" vertical="center" wrapText="1"/>
    </xf>
    <xf numFmtId="169" fontId="1" fillId="10" borderId="23" xfId="0" applyNumberFormat="1" applyFont="1" applyFill="1" applyBorder="1" applyAlignment="1">
      <alignment horizontal="center" vertical="center" wrapText="1"/>
    </xf>
    <xf numFmtId="169" fontId="1" fillId="15" borderId="26" xfId="0" applyNumberFormat="1" applyFont="1" applyFill="1" applyBorder="1" applyAlignment="1">
      <alignment horizontal="center" vertical="center" wrapText="1"/>
    </xf>
    <xf numFmtId="169" fontId="1" fillId="15" borderId="27" xfId="0" applyNumberFormat="1" applyFont="1" applyFill="1" applyBorder="1" applyAlignment="1">
      <alignment horizontal="center" vertical="center" wrapText="1"/>
    </xf>
    <xf numFmtId="169" fontId="1" fillId="15" borderId="23" xfId="0" applyNumberFormat="1" applyFont="1" applyFill="1" applyBorder="1" applyAlignment="1">
      <alignment horizontal="center" vertical="center" wrapText="1"/>
    </xf>
    <xf numFmtId="169" fontId="1" fillId="15" borderId="26" xfId="0" applyNumberFormat="1" applyFont="1" applyFill="1" applyBorder="1" applyAlignment="1">
      <alignment horizontal="center" vertical="center"/>
    </xf>
    <xf numFmtId="169" fontId="1" fillId="15" borderId="27" xfId="0" applyNumberFormat="1" applyFont="1" applyFill="1" applyBorder="1" applyAlignment="1">
      <alignment horizontal="center" vertical="center"/>
    </xf>
    <xf numFmtId="169" fontId="0" fillId="15" borderId="27" xfId="0" applyNumberFormat="1" applyFont="1" applyFill="1" applyBorder="1" applyAlignment="1">
      <alignment horizontal="center" vertical="center"/>
    </xf>
    <xf numFmtId="169" fontId="0" fillId="15" borderId="23" xfId="0" applyNumberFormat="1" applyFont="1" applyFill="1" applyBorder="1" applyAlignment="1">
      <alignment horizontal="center" vertical="center"/>
    </xf>
    <xf numFmtId="0" fontId="1" fillId="13" borderId="18" xfId="0" applyFont="1" applyFill="1" applyBorder="1" applyAlignment="1">
      <alignment horizontal="center" vertical="center"/>
    </xf>
    <xf numFmtId="0" fontId="1" fillId="13" borderId="12" xfId="0" applyFont="1" applyFill="1" applyBorder="1" applyAlignment="1">
      <alignment horizontal="center" vertical="center"/>
    </xf>
    <xf numFmtId="0" fontId="1" fillId="15" borderId="26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15" borderId="26" xfId="0" applyFont="1" applyFill="1" applyBorder="1" applyAlignment="1">
      <alignment horizontal="center"/>
    </xf>
    <xf numFmtId="0" fontId="1" fillId="15" borderId="23" xfId="0" applyFont="1" applyFill="1" applyBorder="1" applyAlignment="1">
      <alignment horizontal="center"/>
    </xf>
    <xf numFmtId="0" fontId="1" fillId="13" borderId="26" xfId="0" applyFont="1" applyFill="1" applyBorder="1" applyAlignment="1">
      <alignment horizontal="center"/>
    </xf>
    <xf numFmtId="0" fontId="1" fillId="13" borderId="27" xfId="0" applyFont="1" applyFill="1" applyBorder="1" applyAlignment="1">
      <alignment horizontal="center"/>
    </xf>
    <xf numFmtId="0" fontId="1" fillId="13" borderId="23" xfId="0" applyFont="1" applyFill="1" applyBorder="1" applyAlignment="1">
      <alignment horizontal="center"/>
    </xf>
    <xf numFmtId="0" fontId="25" fillId="13" borderId="26" xfId="0" applyFont="1" applyFill="1" applyBorder="1" applyAlignment="1">
      <alignment horizontal="center"/>
    </xf>
    <xf numFmtId="0" fontId="25" fillId="13" borderId="27" xfId="0" applyFont="1" applyFill="1" applyBorder="1" applyAlignment="1">
      <alignment horizontal="center"/>
    </xf>
    <xf numFmtId="0" fontId="25" fillId="13" borderId="23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right"/>
    </xf>
    <xf numFmtId="0" fontId="1" fillId="0" borderId="152" xfId="0" applyFont="1" applyFill="1" applyBorder="1" applyAlignment="1">
      <alignment horizontal="right"/>
    </xf>
    <xf numFmtId="0" fontId="0" fillId="0" borderId="99" xfId="0" applyFont="1" applyFill="1" applyBorder="1" applyAlignment="1">
      <alignment horizontal="right"/>
    </xf>
    <xf numFmtId="0" fontId="0" fillId="0" borderId="101" xfId="0" applyFont="1" applyFill="1" applyBorder="1" applyAlignment="1">
      <alignment horizontal="right"/>
    </xf>
    <xf numFmtId="0" fontId="0" fillId="0" borderId="16" xfId="0" applyFont="1" applyFill="1" applyBorder="1" applyAlignment="1">
      <alignment horizontal="right"/>
    </xf>
    <xf numFmtId="0" fontId="0" fillId="0" borderId="17" xfId="0" applyFont="1" applyFill="1" applyBorder="1" applyAlignment="1">
      <alignment horizontal="right"/>
    </xf>
    <xf numFmtId="3" fontId="1" fillId="8" borderId="26" xfId="0" applyNumberFormat="1" applyFont="1" applyFill="1" applyBorder="1" applyAlignment="1">
      <alignment horizontal="center"/>
    </xf>
    <xf numFmtId="3" fontId="1" fillId="8" borderId="27" xfId="0" applyNumberFormat="1" applyFont="1" applyFill="1" applyBorder="1" applyAlignment="1">
      <alignment horizontal="center"/>
    </xf>
    <xf numFmtId="3" fontId="1" fillId="8" borderId="23" xfId="0" applyNumberFormat="1" applyFont="1" applyFill="1" applyBorder="1" applyAlignment="1">
      <alignment horizontal="center"/>
    </xf>
    <xf numFmtId="3" fontId="1" fillId="10" borderId="30" xfId="0" applyNumberFormat="1" applyFont="1" applyFill="1" applyBorder="1" applyAlignment="1">
      <alignment horizontal="center"/>
    </xf>
    <xf numFmtId="3" fontId="1" fillId="10" borderId="35" xfId="0" applyNumberFormat="1" applyFont="1" applyFill="1" applyBorder="1" applyAlignment="1">
      <alignment horizontal="center"/>
    </xf>
    <xf numFmtId="0" fontId="1" fillId="10" borderId="23" xfId="0" applyFont="1" applyFill="1" applyBorder="1" applyAlignment="1">
      <alignment horizontal="center"/>
    </xf>
    <xf numFmtId="3" fontId="1" fillId="10" borderId="26" xfId="0" applyNumberFormat="1" applyFont="1" applyFill="1" applyBorder="1" applyAlignment="1">
      <alignment horizontal="center" vertical="center"/>
    </xf>
    <xf numFmtId="3" fontId="1" fillId="10" borderId="23" xfId="0" applyNumberFormat="1" applyFont="1" applyFill="1" applyBorder="1" applyAlignment="1">
      <alignment horizontal="center" vertical="center"/>
    </xf>
    <xf numFmtId="0" fontId="0" fillId="13" borderId="3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" fillId="0" borderId="107" xfId="0" applyFont="1" applyBorder="1" applyAlignment="1">
      <alignment horizontal="left" vertical="center"/>
    </xf>
    <xf numFmtId="0" fontId="1" fillId="0" borderId="145" xfId="0" applyFont="1" applyBorder="1" applyAlignment="1">
      <alignment horizontal="left" vertical="center"/>
    </xf>
    <xf numFmtId="0" fontId="1" fillId="0" borderId="27" xfId="0" applyFont="1" applyFill="1" applyBorder="1" applyAlignment="1">
      <alignment horizontal="center" vertical="center"/>
    </xf>
    <xf numFmtId="4" fontId="2" fillId="0" borderId="54" xfId="0" applyNumberFormat="1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left" vertical="center" wrapText="1"/>
    </xf>
    <xf numFmtId="3" fontId="1" fillId="0" borderId="107" xfId="0" applyNumberFormat="1" applyFont="1" applyFill="1" applyBorder="1" applyAlignment="1">
      <alignment horizontal="left" vertical="center"/>
    </xf>
    <xf numFmtId="3" fontId="1" fillId="0" borderId="145" xfId="0" applyNumberFormat="1" applyFont="1" applyFill="1" applyBorder="1" applyAlignment="1">
      <alignment horizontal="left" vertical="center"/>
    </xf>
    <xf numFmtId="0" fontId="1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11" xfId="0" applyFont="1" applyBorder="1" applyAlignment="1">
      <alignment horizontal="left" vertical="center"/>
    </xf>
    <xf numFmtId="0" fontId="1" fillId="0" borderId="143" xfId="0" applyFont="1" applyBorder="1" applyAlignment="1">
      <alignment horizontal="left" vertical="center"/>
    </xf>
    <xf numFmtId="0" fontId="1" fillId="0" borderId="105" xfId="0" applyFont="1" applyBorder="1" applyAlignment="1">
      <alignment horizontal="left" vertical="center"/>
    </xf>
    <xf numFmtId="0" fontId="1" fillId="0" borderId="144" xfId="0" applyFont="1" applyBorder="1" applyAlignment="1">
      <alignment horizontal="left" vertical="center"/>
    </xf>
    <xf numFmtId="0" fontId="1" fillId="0" borderId="146" xfId="0" applyFont="1" applyBorder="1" applyAlignment="1">
      <alignment horizontal="left" vertical="center"/>
    </xf>
    <xf numFmtId="0" fontId="1" fillId="0" borderId="114" xfId="0" applyFont="1" applyBorder="1" applyAlignment="1">
      <alignment horizontal="left" vertical="center"/>
    </xf>
    <xf numFmtId="165" fontId="1" fillId="0" borderId="29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3" fontId="1" fillId="0" borderId="105" xfId="0" applyNumberFormat="1" applyFont="1" applyFill="1" applyBorder="1" applyAlignment="1">
      <alignment horizontal="left" vertical="center"/>
    </xf>
    <xf numFmtId="3" fontId="1" fillId="0" borderId="15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19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119" xfId="0" applyBorder="1" applyAlignment="1">
      <alignment horizontal="center" vertical="center"/>
    </xf>
    <xf numFmtId="0" fontId="0" fillId="0" borderId="171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187" xfId="0" applyBorder="1" applyAlignment="1">
      <alignment horizontal="center" vertical="center"/>
    </xf>
    <xf numFmtId="165" fontId="1" fillId="0" borderId="27" xfId="0" applyNumberFormat="1" applyFont="1" applyBorder="1" applyAlignment="1">
      <alignment horizontal="center" vertical="center"/>
    </xf>
    <xf numFmtId="4" fontId="1" fillId="12" borderId="26" xfId="0" applyNumberFormat="1" applyFont="1" applyFill="1" applyBorder="1" applyAlignment="1">
      <alignment horizontal="center" vertical="center"/>
    </xf>
    <xf numFmtId="4" fontId="1" fillId="12" borderId="27" xfId="0" applyNumberFormat="1" applyFont="1" applyFill="1" applyBorder="1" applyAlignment="1">
      <alignment horizontal="center" vertical="center"/>
    </xf>
    <xf numFmtId="4" fontId="1" fillId="12" borderId="2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0" fillId="0" borderId="118" xfId="0" applyNumberFormat="1" applyFont="1" applyFill="1" applyBorder="1" applyAlignment="1">
      <alignment horizontal="left" vertical="center"/>
    </xf>
    <xf numFmtId="3" fontId="0" fillId="0" borderId="119" xfId="0" applyNumberFormat="1" applyFont="1" applyFill="1" applyBorder="1" applyAlignment="1">
      <alignment horizontal="left" vertical="center"/>
    </xf>
    <xf numFmtId="3" fontId="0" fillId="0" borderId="120" xfId="0" applyNumberFormat="1" applyFont="1" applyFill="1" applyBorder="1" applyAlignment="1">
      <alignment horizontal="left" vertical="center"/>
    </xf>
    <xf numFmtId="3" fontId="0" fillId="0" borderId="116" xfId="0" applyNumberFormat="1" applyFont="1" applyFill="1" applyBorder="1" applyAlignment="1">
      <alignment horizontal="left" vertical="center"/>
    </xf>
    <xf numFmtId="3" fontId="1" fillId="10" borderId="41" xfId="0" applyNumberFormat="1" applyFont="1" applyFill="1" applyBorder="1" applyAlignment="1">
      <alignment horizontal="center" vertical="center"/>
    </xf>
    <xf numFmtId="3" fontId="1" fillId="10" borderId="42" xfId="0" applyNumberFormat="1" applyFont="1" applyFill="1" applyBorder="1" applyAlignment="1">
      <alignment horizontal="center" vertical="center"/>
    </xf>
    <xf numFmtId="0" fontId="5" fillId="10" borderId="26" xfId="0" applyFont="1" applyFill="1" applyBorder="1" applyAlignment="1">
      <alignment horizontal="center"/>
    </xf>
    <xf numFmtId="0" fontId="5" fillId="10" borderId="23" xfId="0" applyFont="1" applyFill="1" applyBorder="1" applyAlignment="1">
      <alignment horizontal="center"/>
    </xf>
    <xf numFmtId="0" fontId="1" fillId="0" borderId="118" xfId="0" applyFont="1" applyFill="1" applyBorder="1" applyAlignment="1">
      <alignment horizontal="left" vertical="center"/>
    </xf>
    <xf numFmtId="0" fontId="1" fillId="0" borderId="119" xfId="0" applyFont="1" applyFill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0" fillId="10" borderId="26" xfId="0" applyFill="1" applyBorder="1" applyAlignment="1">
      <alignment horizontal="center" vertical="center"/>
    </xf>
    <xf numFmtId="0" fontId="0" fillId="10" borderId="23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10" borderId="63" xfId="0" applyFont="1" applyFill="1" applyBorder="1" applyAlignment="1">
      <alignment horizontal="center" vertical="center"/>
    </xf>
    <xf numFmtId="0" fontId="1" fillId="10" borderId="64" xfId="0" applyFont="1" applyFill="1" applyBorder="1" applyAlignment="1">
      <alignment horizontal="center" vertical="center"/>
    </xf>
    <xf numFmtId="0" fontId="1" fillId="10" borderId="65" xfId="0" applyFont="1" applyFill="1" applyBorder="1" applyAlignment="1">
      <alignment horizontal="center" vertical="center"/>
    </xf>
    <xf numFmtId="0" fontId="0" fillId="0" borderId="66" xfId="0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1" fillId="4" borderId="72" xfId="0" applyFont="1" applyFill="1" applyBorder="1" applyAlignment="1">
      <alignment horizontal="center"/>
    </xf>
    <xf numFmtId="0" fontId="1" fillId="4" borderId="73" xfId="0" applyFont="1" applyFill="1" applyBorder="1" applyAlignment="1">
      <alignment horizontal="center"/>
    </xf>
    <xf numFmtId="0" fontId="1" fillId="4" borderId="74" xfId="0" applyFont="1" applyFill="1" applyBorder="1" applyAlignment="1">
      <alignment horizontal="center"/>
    </xf>
    <xf numFmtId="0" fontId="1" fillId="13" borderId="32" xfId="0" applyFont="1" applyFill="1" applyBorder="1" applyAlignment="1">
      <alignment horizontal="center"/>
    </xf>
    <xf numFmtId="0" fontId="1" fillId="13" borderId="63" xfId="0" applyFont="1" applyFill="1" applyBorder="1" applyAlignment="1">
      <alignment horizontal="center"/>
    </xf>
    <xf numFmtId="0" fontId="1" fillId="13" borderId="64" xfId="0" applyFont="1" applyFill="1" applyBorder="1" applyAlignment="1">
      <alignment horizontal="center"/>
    </xf>
    <xf numFmtId="0" fontId="1" fillId="13" borderId="65" xfId="0" applyFont="1" applyFill="1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66" xfId="0" applyBorder="1" applyAlignment="1">
      <alignment horizontal="left"/>
    </xf>
    <xf numFmtId="0" fontId="0" fillId="0" borderId="67" xfId="0" applyBorder="1" applyAlignment="1">
      <alignment horizontal="left"/>
    </xf>
    <xf numFmtId="0" fontId="1" fillId="10" borderId="63" xfId="0" applyFont="1" applyFill="1" applyBorder="1" applyAlignment="1">
      <alignment horizontal="center"/>
    </xf>
    <xf numFmtId="0" fontId="1" fillId="10" borderId="64" xfId="0" applyFont="1" applyFill="1" applyBorder="1" applyAlignment="1">
      <alignment horizontal="center"/>
    </xf>
    <xf numFmtId="0" fontId="1" fillId="10" borderId="65" xfId="0" applyFont="1" applyFill="1" applyBorder="1" applyAlignment="1">
      <alignment horizontal="center"/>
    </xf>
    <xf numFmtId="0" fontId="21" fillId="0" borderId="170" xfId="0" applyFont="1" applyBorder="1" applyAlignment="1">
      <alignment horizontal="left" wrapText="1"/>
    </xf>
    <xf numFmtId="0" fontId="0" fillId="0" borderId="170" xfId="0" applyBorder="1" applyAlignment="1">
      <alignment horizontal="left" wrapText="1"/>
    </xf>
    <xf numFmtId="0" fontId="0" fillId="0" borderId="0" xfId="0" applyAlignment="1">
      <alignment horizontal="center"/>
    </xf>
    <xf numFmtId="171" fontId="0" fillId="0" borderId="203" xfId="3" applyNumberFormat="1" applyFont="1" applyBorder="1" applyAlignment="1">
      <alignment horizontal="left"/>
    </xf>
    <xf numFmtId="171" fontId="0" fillId="0" borderId="204" xfId="3" applyNumberFormat="1" applyFont="1" applyBorder="1" applyAlignment="1">
      <alignment horizontal="left"/>
    </xf>
    <xf numFmtId="0" fontId="0" fillId="14" borderId="201" xfId="0" applyFont="1" applyFill="1" applyBorder="1" applyAlignment="1">
      <alignment horizontal="left"/>
    </xf>
    <xf numFmtId="0" fontId="0" fillId="14" borderId="202" xfId="0" applyFont="1" applyFill="1" applyBorder="1" applyAlignment="1">
      <alignment horizontal="left"/>
    </xf>
    <xf numFmtId="0" fontId="0" fillId="14" borderId="198" xfId="0" applyFont="1" applyFill="1" applyBorder="1" applyAlignment="1">
      <alignment horizontal="left"/>
    </xf>
    <xf numFmtId="0" fontId="0" fillId="14" borderId="199" xfId="0" applyFont="1" applyFill="1" applyBorder="1" applyAlignment="1">
      <alignment horizontal="left"/>
    </xf>
    <xf numFmtId="0" fontId="0" fillId="0" borderId="195" xfId="0" applyFont="1" applyBorder="1" applyAlignment="1">
      <alignment horizontal="left"/>
    </xf>
    <xf numFmtId="0" fontId="0" fillId="0" borderId="196" xfId="0" applyFont="1" applyBorder="1" applyAlignment="1">
      <alignment horizontal="left"/>
    </xf>
    <xf numFmtId="0" fontId="0" fillId="0" borderId="143" xfId="0" applyBorder="1" applyAlignment="1">
      <alignment horizontal="left" vertical="center"/>
    </xf>
    <xf numFmtId="0" fontId="0" fillId="0" borderId="112" xfId="0" applyBorder="1" applyAlignment="1">
      <alignment horizontal="left" vertical="center"/>
    </xf>
    <xf numFmtId="44" fontId="5" fillId="3" borderId="18" xfId="0" applyNumberFormat="1" applyFont="1" applyFill="1" applyBorder="1" applyAlignment="1">
      <alignment horizontal="center" vertical="center"/>
    </xf>
    <xf numFmtId="44" fontId="5" fillId="3" borderId="12" xfId="0" applyNumberFormat="1" applyFont="1" applyFill="1" applyBorder="1" applyAlignment="1">
      <alignment horizontal="center" vertical="center"/>
    </xf>
    <xf numFmtId="0" fontId="0" fillId="0" borderId="144" xfId="0" applyBorder="1" applyAlignment="1">
      <alignment horizontal="left" vertical="center"/>
    </xf>
    <xf numFmtId="0" fontId="0" fillId="0" borderId="106" xfId="0" applyBorder="1" applyAlignment="1">
      <alignment horizontal="left" vertical="center"/>
    </xf>
    <xf numFmtId="0" fontId="0" fillId="0" borderId="145" xfId="0" applyBorder="1" applyAlignment="1">
      <alignment horizontal="left" vertical="center"/>
    </xf>
    <xf numFmtId="0" fontId="0" fillId="0" borderId="108" xfId="0" applyBorder="1" applyAlignment="1">
      <alignment horizontal="left" vertical="center"/>
    </xf>
    <xf numFmtId="0" fontId="5" fillId="0" borderId="99" xfId="0" applyFont="1" applyBorder="1" applyAlignment="1">
      <alignment horizontal="center" vertical="center" wrapText="1"/>
    </xf>
    <xf numFmtId="0" fontId="5" fillId="0" borderId="102" xfId="0" applyFont="1" applyBorder="1" applyAlignment="1">
      <alignment horizontal="center" vertical="center"/>
    </xf>
    <xf numFmtId="44" fontId="5" fillId="0" borderId="135" xfId="0" applyNumberFormat="1" applyFont="1" applyBorder="1" applyAlignment="1">
      <alignment horizontal="center" vertical="center"/>
    </xf>
    <xf numFmtId="44" fontId="5" fillId="0" borderId="134" xfId="0" applyNumberFormat="1" applyFont="1" applyBorder="1" applyAlignment="1">
      <alignment horizontal="center" vertical="center"/>
    </xf>
    <xf numFmtId="0" fontId="1" fillId="7" borderId="45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/>
    </xf>
    <xf numFmtId="0" fontId="1" fillId="7" borderId="104" xfId="0" applyFont="1" applyFill="1" applyBorder="1" applyAlignment="1">
      <alignment horizontal="center"/>
    </xf>
    <xf numFmtId="0" fontId="1" fillId="7" borderId="173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174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171" fontId="0" fillId="0" borderId="0" xfId="3" applyNumberFormat="1" applyFont="1" applyAlignment="1">
      <alignment horizontal="center" vertical="center"/>
    </xf>
    <xf numFmtId="171" fontId="0" fillId="0" borderId="0" xfId="3" applyNumberFormat="1" applyFont="1" applyFill="1" applyAlignment="1">
      <alignment horizontal="center" vertical="center"/>
    </xf>
    <xf numFmtId="171" fontId="0" fillId="0" borderId="0" xfId="3" applyNumberFormat="1" applyFont="1" applyFill="1" applyBorder="1" applyAlignment="1" applyProtection="1">
      <alignment horizontal="right" vertical="center"/>
      <protection locked="0"/>
    </xf>
    <xf numFmtId="171" fontId="0" fillId="0" borderId="0" xfId="3" applyNumberFormat="1" applyFont="1" applyAlignment="1" applyProtection="1">
      <alignment horizontal="right" vertical="center"/>
      <protection locked="0"/>
    </xf>
    <xf numFmtId="171" fontId="0" fillId="0" borderId="0" xfId="3" applyNumberFormat="1" applyFont="1" applyFill="1" applyAlignment="1" applyProtection="1">
      <alignment horizontal="right" vertical="center"/>
      <protection locked="0"/>
    </xf>
    <xf numFmtId="171" fontId="0" fillId="0" borderId="0" xfId="3" applyNumberFormat="1" applyFont="1" applyFill="1" applyBorder="1" applyAlignment="1">
      <alignment horizontal="center" vertical="center"/>
    </xf>
    <xf numFmtId="171" fontId="17" fillId="0" borderId="0" xfId="3" applyNumberFormat="1" applyFont="1" applyFill="1" applyAlignment="1">
      <alignment horizontal="center" vertical="center"/>
    </xf>
    <xf numFmtId="171" fontId="17" fillId="0" borderId="0" xfId="3" applyNumberFormat="1" applyFont="1" applyFill="1" applyAlignment="1" applyProtection="1">
      <alignment horizontal="right" vertical="center"/>
      <protection locked="0"/>
    </xf>
    <xf numFmtId="165" fontId="0" fillId="0" borderId="30" xfId="0" applyNumberFormat="1" applyBorder="1" applyAlignment="1">
      <alignment horizontal="center" vertical="center"/>
    </xf>
    <xf numFmtId="165" fontId="1" fillId="0" borderId="118" xfId="0" applyNumberFormat="1" applyFont="1" applyFill="1" applyBorder="1" applyAlignment="1">
      <alignment horizontal="center" vertical="center"/>
    </xf>
    <xf numFmtId="165" fontId="1" fillId="13" borderId="120" xfId="0" applyNumberFormat="1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21" fillId="0" borderId="54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/>
    <xf numFmtId="0" fontId="31" fillId="0" borderId="205" xfId="0" applyFont="1" applyBorder="1" applyAlignment="1">
      <alignment horizontal="left" vertical="center" wrapText="1"/>
    </xf>
    <xf numFmtId="0" fontId="32" fillId="0" borderId="0" xfId="1" applyFont="1" applyAlignment="1">
      <alignment vertical="center"/>
    </xf>
    <xf numFmtId="0" fontId="31" fillId="0" borderId="0" xfId="0" applyFont="1" applyAlignment="1">
      <alignment horizontal="left" vertical="center" wrapText="1"/>
    </xf>
  </cellXfs>
  <cellStyles count="8">
    <cellStyle name="Bad" xfId="2" builtinId="27"/>
    <cellStyle name="Comma" xfId="3" builtinId="3"/>
    <cellStyle name="Currency" xfId="5" builtinId="4"/>
    <cellStyle name="Good" xfId="6" builtinId="26"/>
    <cellStyle name="Hyperlink" xfId="1" builtinId="8"/>
    <cellStyle name="Neutral" xfId="7" builtinId="28"/>
    <cellStyle name="Normal" xfId="0" builtinId="0"/>
    <cellStyle name="Percent" xfId="4" builtinId="5"/>
  </cellStyles>
  <dxfs count="10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1" formatCode="_(* #,##0_);_(* \(#,##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71" formatCode="_(* #,##0_);_(* \(#,##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000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3" formatCode="0.000_);\(0.000\)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dashed">
          <color auto="1"/>
        </left>
        <right/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dashed">
          <color auto="1"/>
        </left>
        <right style="dashed">
          <color auto="1"/>
        </right>
        <top/>
        <bottom/>
        <vertical/>
        <horizontal/>
      </border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dashed">
          <color auto="1"/>
        </left>
        <right style="dashed">
          <color auto="1"/>
        </right>
        <top/>
        <bottom/>
        <vertical/>
        <horizontal/>
      </border>
    </dxf>
    <dxf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dashed">
          <color auto="1"/>
        </left>
        <right style="dashed">
          <color auto="1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dashed">
          <color auto="1"/>
        </left>
        <right style="dashed">
          <color auto="1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dashed">
          <color auto="1"/>
        </right>
        <top/>
        <bottom/>
        <vertical/>
        <horizontal/>
      </border>
    </dxf>
    <dxf>
      <border outline="0">
        <left style="thick">
          <color indexed="64"/>
        </left>
        <right style="thick">
          <color indexed="64"/>
        </right>
        <top style="thick">
          <color indexed="64"/>
        </top>
        <bottom style="thick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ck">
          <color indexed="64"/>
        </bottom>
      </border>
    </dxf>
    <dxf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ck">
          <color indexed="64"/>
        </left>
        <right style="thick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99CCFF"/>
      <color rgb="FFFF505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0</xdr:col>
      <xdr:colOff>142240</xdr:colOff>
      <xdr:row>19</xdr:row>
      <xdr:rowOff>8255</xdr:rowOff>
    </xdr:to>
    <xdr:pic>
      <xdr:nvPicPr>
        <xdr:cNvPr id="2" name="Picture 1" descr="http://www.bea.gov/scb/_images/tblstrut.gif">
          <a:extLst>
            <a:ext uri="{FF2B5EF4-FFF2-40B4-BE49-F238E27FC236}">
              <a16:creationId xmlns:a16="http://schemas.microsoft.com/office/drawing/2014/main" id="{C1C93591-9050-4DDE-80C9-0AB4E33C2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0"/>
          <a:ext cx="1428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19</xdr:row>
      <xdr:rowOff>0</xdr:rowOff>
    </xdr:from>
    <xdr:to>
      <xdr:col>0</xdr:col>
      <xdr:colOff>294640</xdr:colOff>
      <xdr:row>19</xdr:row>
      <xdr:rowOff>8255</xdr:rowOff>
    </xdr:to>
    <xdr:pic>
      <xdr:nvPicPr>
        <xdr:cNvPr id="3" name="Picture 2" descr="http://www.bea.gov/scb/_images/tblstrut.gif">
          <a:extLst>
            <a:ext uri="{FF2B5EF4-FFF2-40B4-BE49-F238E27FC236}">
              <a16:creationId xmlns:a16="http://schemas.microsoft.com/office/drawing/2014/main" id="{E1AB2284-7030-4B2D-A5FA-28284F8B5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3810000"/>
          <a:ext cx="1428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142240</xdr:colOff>
      <xdr:row>20</xdr:row>
      <xdr:rowOff>8255</xdr:rowOff>
    </xdr:to>
    <xdr:pic>
      <xdr:nvPicPr>
        <xdr:cNvPr id="4" name="Picture 3" descr="http://www.bea.gov/scb/_images/tblstrut.gif">
          <a:extLst>
            <a:ext uri="{FF2B5EF4-FFF2-40B4-BE49-F238E27FC236}">
              <a16:creationId xmlns:a16="http://schemas.microsoft.com/office/drawing/2014/main" id="{45370268-4A59-4689-999B-B821647A5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00500"/>
          <a:ext cx="1428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20</xdr:row>
      <xdr:rowOff>0</xdr:rowOff>
    </xdr:from>
    <xdr:to>
      <xdr:col>0</xdr:col>
      <xdr:colOff>294640</xdr:colOff>
      <xdr:row>20</xdr:row>
      <xdr:rowOff>8255</xdr:rowOff>
    </xdr:to>
    <xdr:pic>
      <xdr:nvPicPr>
        <xdr:cNvPr id="5" name="Picture 4" descr="http://www.bea.gov/scb/_images/tblstrut.gif">
          <a:extLst>
            <a:ext uri="{FF2B5EF4-FFF2-40B4-BE49-F238E27FC236}">
              <a16:creationId xmlns:a16="http://schemas.microsoft.com/office/drawing/2014/main" id="{422E8F34-277E-4943-AC9F-073ACCF20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000500"/>
          <a:ext cx="1428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142240</xdr:colOff>
      <xdr:row>21</xdr:row>
      <xdr:rowOff>8255</xdr:rowOff>
    </xdr:to>
    <xdr:pic>
      <xdr:nvPicPr>
        <xdr:cNvPr id="6" name="Picture 5" descr="http://www.bea.gov/scb/_images/tblstrut.gif">
          <a:extLst>
            <a:ext uri="{FF2B5EF4-FFF2-40B4-BE49-F238E27FC236}">
              <a16:creationId xmlns:a16="http://schemas.microsoft.com/office/drawing/2014/main" id="{CCB4ADDD-FA55-47E5-9AEE-3B9771EEBF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1428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21</xdr:row>
      <xdr:rowOff>0</xdr:rowOff>
    </xdr:from>
    <xdr:to>
      <xdr:col>0</xdr:col>
      <xdr:colOff>294640</xdr:colOff>
      <xdr:row>21</xdr:row>
      <xdr:rowOff>8255</xdr:rowOff>
    </xdr:to>
    <xdr:pic>
      <xdr:nvPicPr>
        <xdr:cNvPr id="7" name="Picture 6" descr="http://www.bea.gov/scb/_images/tblstrut.gif">
          <a:extLst>
            <a:ext uri="{FF2B5EF4-FFF2-40B4-BE49-F238E27FC236}">
              <a16:creationId xmlns:a16="http://schemas.microsoft.com/office/drawing/2014/main" id="{7D39785D-5584-4E3C-970D-4CD8DD8E2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191000"/>
          <a:ext cx="1428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142240</xdr:colOff>
      <xdr:row>22</xdr:row>
      <xdr:rowOff>8255</xdr:rowOff>
    </xdr:to>
    <xdr:pic>
      <xdr:nvPicPr>
        <xdr:cNvPr id="8" name="Picture 7" descr="http://www.bea.gov/scb/_images/tblstrut.gif">
          <a:extLst>
            <a:ext uri="{FF2B5EF4-FFF2-40B4-BE49-F238E27FC236}">
              <a16:creationId xmlns:a16="http://schemas.microsoft.com/office/drawing/2014/main" id="{C5A75409-92BC-4364-8CA2-C5B12BA3D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0"/>
          <a:ext cx="1428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22</xdr:row>
      <xdr:rowOff>0</xdr:rowOff>
    </xdr:from>
    <xdr:to>
      <xdr:col>0</xdr:col>
      <xdr:colOff>294640</xdr:colOff>
      <xdr:row>22</xdr:row>
      <xdr:rowOff>8255</xdr:rowOff>
    </xdr:to>
    <xdr:pic>
      <xdr:nvPicPr>
        <xdr:cNvPr id="9" name="Picture 8" descr="http://www.bea.gov/scb/_images/tblstrut.gif">
          <a:extLst>
            <a:ext uri="{FF2B5EF4-FFF2-40B4-BE49-F238E27FC236}">
              <a16:creationId xmlns:a16="http://schemas.microsoft.com/office/drawing/2014/main" id="{46AF416F-2C25-4876-8AE5-7025EB72E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381500"/>
          <a:ext cx="1428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142240</xdr:colOff>
      <xdr:row>23</xdr:row>
      <xdr:rowOff>8255</xdr:rowOff>
    </xdr:to>
    <xdr:pic>
      <xdr:nvPicPr>
        <xdr:cNvPr id="10" name="Picture 9" descr="http://www.bea.gov/scb/_images/tblstrut.gif">
          <a:extLst>
            <a:ext uri="{FF2B5EF4-FFF2-40B4-BE49-F238E27FC236}">
              <a16:creationId xmlns:a16="http://schemas.microsoft.com/office/drawing/2014/main" id="{B6836E5F-3091-4EB2-80CE-E0F81FBAD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0"/>
          <a:ext cx="1428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23</xdr:row>
      <xdr:rowOff>0</xdr:rowOff>
    </xdr:from>
    <xdr:to>
      <xdr:col>0</xdr:col>
      <xdr:colOff>294640</xdr:colOff>
      <xdr:row>23</xdr:row>
      <xdr:rowOff>8255</xdr:rowOff>
    </xdr:to>
    <xdr:pic>
      <xdr:nvPicPr>
        <xdr:cNvPr id="11" name="Picture 10" descr="http://www.bea.gov/scb/_images/tblstrut.gif">
          <a:extLst>
            <a:ext uri="{FF2B5EF4-FFF2-40B4-BE49-F238E27FC236}">
              <a16:creationId xmlns:a16="http://schemas.microsoft.com/office/drawing/2014/main" id="{10F3AB38-636A-4295-9EEE-65B682741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572000"/>
          <a:ext cx="1428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142240</xdr:colOff>
      <xdr:row>24</xdr:row>
      <xdr:rowOff>8255</xdr:rowOff>
    </xdr:to>
    <xdr:pic>
      <xdr:nvPicPr>
        <xdr:cNvPr id="12" name="Picture 11" descr="http://www.bea.gov/scb/_images/tblstrut.gif">
          <a:extLst>
            <a:ext uri="{FF2B5EF4-FFF2-40B4-BE49-F238E27FC236}">
              <a16:creationId xmlns:a16="http://schemas.microsoft.com/office/drawing/2014/main" id="{5E670B6E-F8C5-48F7-A4CF-543608822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00"/>
          <a:ext cx="1428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24</xdr:row>
      <xdr:rowOff>0</xdr:rowOff>
    </xdr:from>
    <xdr:to>
      <xdr:col>0</xdr:col>
      <xdr:colOff>294640</xdr:colOff>
      <xdr:row>24</xdr:row>
      <xdr:rowOff>8255</xdr:rowOff>
    </xdr:to>
    <xdr:pic>
      <xdr:nvPicPr>
        <xdr:cNvPr id="13" name="Picture 12" descr="http://www.bea.gov/scb/_images/tblstrut.gif">
          <a:extLst>
            <a:ext uri="{FF2B5EF4-FFF2-40B4-BE49-F238E27FC236}">
              <a16:creationId xmlns:a16="http://schemas.microsoft.com/office/drawing/2014/main" id="{2759FCCA-ACCA-4565-95C6-3D44B9D37B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762500"/>
          <a:ext cx="14287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C0B5B68-D27E-4D2E-AC77-B2C30C483626}" name="Table36" displayName="Table36" ref="A4:T19" totalsRowCount="1" headerRowDxfId="101" dataDxfId="100">
  <autoFilter ref="A4:T18" xr:uid="{AC96936E-E857-4B9C-A0DB-8C7B02A2F90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F06A0C7D-6FE4-4D23-B195-ADF822B9A804}" name="PROJECT DESCRIPTION" dataDxfId="14" totalsRowDxfId="34"/>
    <tableColumn id="2" xr3:uid="{65A90C23-59CC-429A-A317-988BE1C7C06F}" name="TOTAL COST" totalsRowFunction="custom" dataDxfId="13" totalsRowDxfId="33" dataCellStyle="Comma">
      <calculatedColumnFormula>SUM(C5:E5)</calculatedColumnFormula>
      <totalsRowFormula>SUM(Table36[TOTAL COST])</totalsRowFormula>
    </tableColumn>
    <tableColumn id="3" xr3:uid="{64472760-7359-4B2E-A86A-7820D0C01D0D}" name="NEPA &amp; _x000a_DESIGN" totalsRowFunction="custom" dataDxfId="12" totalsRowDxfId="32" dataCellStyle="Comma">
      <totalsRowFormula>SUM(Table36[NEPA &amp; 
DESIGN])</totalsRowFormula>
    </tableColumn>
    <tableColumn id="4" xr3:uid="{F39D5F1D-4B6F-4794-85EF-5311FCCE64A8}" name="ROW &amp; _x000a_UTILITY" totalsRowFunction="custom" dataDxfId="11" totalsRowDxfId="31" dataCellStyle="Comma">
      <totalsRowFormula>SUM(Table36[ROW &amp; 
UTILITY])</totalsRowFormula>
    </tableColumn>
    <tableColumn id="5" xr3:uid="{3B0C3A40-1E68-4003-84A6-677E341020E2}" name="CONSTRUCTION" totalsRowFunction="custom" dataDxfId="10" totalsRowDxfId="30" dataCellStyle="Comma">
      <totalsRowFormula>SUM(Table36[CONSTRUCTION])</totalsRowFormula>
    </tableColumn>
    <tableColumn id="20" xr3:uid="{EA70AE20-7185-4355-97EA-7BCCEC298AA0}" name="CONSTRUCTION _x000a_ONLY" totalsRowFunction="custom" dataDxfId="9" totalsRowDxfId="29" dataCellStyle="Comma">
      <calculatedColumnFormula>Table36[[#This Row],[CONSTRUCTION]]-(Table36[[#This Row],[CONSTRUCTION 
CONTINGENCY]]+Table36[[#This Row],[CONSTRUCTION ENGINEERING]])</calculatedColumnFormula>
      <totalsRowFormula>SUM(Table36[CONSTRUCTION 
ONLY])</totalsRowFormula>
    </tableColumn>
    <tableColumn id="18" xr3:uid="{0CC8087F-6D1B-405E-9EBC-095120285F47}" name="CONSTRUCTION _x000a_CONTINGENCY" totalsRowFunction="custom" dataDxfId="8" totalsRowDxfId="28" dataCellStyle="Comma">
      <calculatedColumnFormula>Table36[[#This Row],[CONSTRUCTION]]*0.1</calculatedColumnFormula>
      <totalsRowFormula>SUM(Table36[CONSTRUCTION 
CONTINGENCY])</totalsRowFormula>
    </tableColumn>
    <tableColumn id="19" xr3:uid="{D37A07D1-BB8D-42DA-8668-71141845E63F}" name="CONSTRUCTION ENGINEERING" totalsRowFunction="custom" dataDxfId="7" totalsRowDxfId="27" dataCellStyle="Comma">
      <calculatedColumnFormula>Table36[[#This Row],[CONSTRUCTION]]*0.1</calculatedColumnFormula>
      <totalsRowFormula>SUM(Table36[CONSTRUCTION ENGINEERING])</totalsRowFormula>
    </tableColumn>
    <tableColumn id="6" xr3:uid="{9637FD31-D960-4C97-AF30-9ED21ED26CF0}" name="2021" totalsRowFunction="custom" dataDxfId="6" totalsRowDxfId="26" dataCellStyle="Comma">
      <totalsRowFormula>SUM(Table36[2021])</totalsRowFormula>
    </tableColumn>
    <tableColumn id="7" xr3:uid="{32C156CF-55F5-4E35-8415-356CA3CF0B7E}" name="2022" totalsRowFunction="custom" dataDxfId="5" totalsRowDxfId="25" dataCellStyle="Comma">
      <totalsRowFormula>SUM(Table36[2022])</totalsRowFormula>
    </tableColumn>
    <tableColumn id="8" xr3:uid="{AED32F9E-6C9B-476D-842A-AB9E710C6C8F}" name="2023" totalsRowFunction="custom" dataDxfId="4" totalsRowDxfId="24" dataCellStyle="Comma">
      <totalsRowFormula>SUM(Table36[2023])</totalsRowFormula>
    </tableColumn>
    <tableColumn id="9" xr3:uid="{97D47A9B-4102-4AF2-B3DC-16CCEB1CBEBD}" name="2024" totalsRowFunction="custom" dataDxfId="3" totalsRowDxfId="23" dataCellStyle="Comma">
      <totalsRowFormula>SUM(Table36[2024])</totalsRowFormula>
    </tableColumn>
    <tableColumn id="10" xr3:uid="{B3E74124-9234-4FB6-8204-AA6FE18CF38A}" name="2025" totalsRowFunction="custom" dataDxfId="2" totalsRowDxfId="22" dataCellStyle="Comma">
      <totalsRowFormula>SUM(Table36[2025])</totalsRowFormula>
    </tableColumn>
    <tableColumn id="11" xr3:uid="{0E4E0ADB-0A85-40FE-BB2E-4B3BEB0C6E69}" name="2026" totalsRowFunction="custom" dataDxfId="0" totalsRowDxfId="21" dataCellStyle="Comma">
      <totalsRowFormula>SUM(Table36[2026])</totalsRowFormula>
    </tableColumn>
    <tableColumn id="12" xr3:uid="{D94DCC8E-A2AB-4E82-AF30-7ECBBE5AB3F0}" name="YR PROJECT FUNDED" dataDxfId="1" totalsRowDxfId="20"/>
    <tableColumn id="13" xr3:uid="{63F9D91D-7825-4722-8E11-F18E9F54A3AF}" name="PE NEPA" dataDxfId="99" totalsRowDxfId="19"/>
    <tableColumn id="14" xr3:uid="{7AE44310-C131-4DDB-ADA4-9361CB28DF7B}" name="PE DESIGN" dataDxfId="98" totalsRowDxfId="18"/>
    <tableColumn id="15" xr3:uid="{26EB7C67-D1D9-47CF-B82D-1713E5FD5748}" name="ROW" dataDxfId="97" totalsRowDxfId="17"/>
    <tableColumn id="16" xr3:uid="{6B9EE10C-6845-4499-9305-384E6E6A6D9D}" name="CONSTRUCTION _x000a_STARTS" dataDxfId="96" totalsRowDxfId="16"/>
    <tableColumn id="17" xr3:uid="{562D866A-7255-4790-B2BE-0097D2F7259D}" name="CONSTRUCTION _x000a_COMPLETE" dataDxfId="95" totalsRowDxfId="15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E96910-2738-46B3-9318-573FE1DB77F6}" name="Table1" displayName="Table1" ref="A3:F12" totalsRowShown="0" headerRowDxfId="94" dataDxfId="92" headerRowBorderDxfId="93" tableBorderDxfId="91">
  <autoFilter ref="A3:F12" xr:uid="{44E96910-2738-46B3-9318-573FE1DB77F6}"/>
  <tableColumns count="6">
    <tableColumn id="1" xr3:uid="{BEB8EE8D-E21E-48FD-B195-E43794B9ADEB}" name="CENSUS TRACT #" dataDxfId="90"/>
    <tableColumn id="2" xr3:uid="{8A609F7A-D98D-463A-8814-198BB6E8C255}" name="TOTAL CENSUS TRACT POPULATION" dataDxfId="89"/>
    <tableColumn id="3" xr3:uid="{03E871F5-0C8A-4033-A3D8-0547BB9BF2FA}" name="TRACT AREA _x000a_(SQ MILES)" dataDxfId="88"/>
    <tableColumn id="4" xr3:uid="{3E2D2CB6-ABC4-4F3D-B63D-9830844454DB}" name="TRACT AREA _x000a_(SQ KM)" dataDxfId="87">
      <calculatedColumnFormula>C4*2.59</calculatedColumnFormula>
    </tableColumn>
    <tableColumn id="5" xr3:uid="{6C905FB4-F4FA-4199-8823-5FC3A42C06F0}" name="POPULATION DENSITY _x000a_(POP / SQ MILE)" dataDxfId="86">
      <calculatedColumnFormula>B4/C4</calculatedColumnFormula>
    </tableColumn>
    <tableColumn id="6" xr3:uid="{0BD2C1BF-BD31-429A-8CE5-D35F7D20F0F2}" name="POPULATION DENSITY _x000a_(POP / SQ KM)" dataDxfId="85">
      <calculatedColumnFormula>B4/D4</calculatedColumnFormula>
    </tableColumn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3B9668-1CD0-49E3-97FD-C6880141EB8F}" name="Table2" displayName="Table2" ref="B15:D24" totalsRowShown="0">
  <autoFilter ref="B15:D24" xr:uid="{953B9668-1CD0-49E3-97FD-C6880141EB8F}"/>
  <tableColumns count="3">
    <tableColumn id="1" xr3:uid="{8568E9C5-CDB0-4DA4-8EE3-C20CAC2E6450}" name="CRASH LEVEL PROFILE" dataDxfId="84"/>
    <tableColumn id="2" xr3:uid="{C0609FD3-D399-468E-9108-B0400118D410}" name="CRASH RATE SEVERITY DISTRIBUTION" dataDxfId="83"/>
    <tableColumn id="3" xr3:uid="{23D4F8D9-6CDB-4EF3-8A6A-0B77741B62D2}" name="COST PER INJURY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3C6DF12-2F58-44A3-AFBC-E7A0F4EEAA3A}" name="Table4" displayName="Table4" ref="B38:W58" totalsRowShown="0" headerRowDxfId="82" dataDxfId="81">
  <autoFilter ref="B38:W58" xr:uid="{63C6DF12-2F58-44A3-AFBC-E7A0F4EEAA3A}"/>
  <tableColumns count="22">
    <tableColumn id="1" xr3:uid="{F67C0C97-5063-473E-B022-1B869499C95E}" name="Project Year" dataDxfId="80"/>
    <tableColumn id="2" xr3:uid="{18383A6F-305F-40E3-98C9-AB794CC2780D}" name="Year" dataDxfId="79"/>
    <tableColumn id="3" xr3:uid="{A7AF0FCE-A78D-40B8-9117-DB71E5478FC4}" name="EXPOSED POPULATION " dataDxfId="78">
      <calculatedColumnFormula>D38*(1+$C$9)</calculatedColumnFormula>
    </tableColumn>
    <tableColumn id="4" xr3:uid="{9D6653AE-BC4A-4446-B990-4B950FA2DA56}" name="Estimated Fatalities" dataDxfId="77">
      <calculatedColumnFormula>D39*$C$7*$C$16/1000</calculatedColumnFormula>
    </tableColumn>
    <tableColumn id="5" xr3:uid="{13A9570D-C4BA-4E40-AFC1-ACCBDD6CF60F}" name="Estimated Injuries" dataDxfId="76">
      <calculatedColumnFormula>$D$39*$C$17/1000</calculatedColumnFormula>
    </tableColumn>
    <tableColumn id="6" xr3:uid="{10A259BA-B687-4DD9-A0AE-11D360EFCE74}" name="Estimated Crashes" dataDxfId="75">
      <calculatedColumnFormula>D39*$C$7/1000</calculatedColumnFormula>
    </tableColumn>
    <tableColumn id="7" xr3:uid="{6EF3A551-3AE3-440F-8A73-4137CF3E782F}" name="Fatalities" dataDxfId="74">
      <calculatedColumnFormula>E39</calculatedColumnFormula>
    </tableColumn>
    <tableColumn id="8" xr3:uid="{3E0F06BA-82D5-4F28-BA48-4A1BC276542E}" name="MAIS 5" dataDxfId="73">
      <calculatedColumnFormula>(($F$34*$F39)+($G$34*$G39))</calculatedColumnFormula>
    </tableColumn>
    <tableColumn id="9" xr3:uid="{518E8AB1-BDD4-480F-9D8B-AF3C99344E01}" name="MAIS 4" dataDxfId="72">
      <calculatedColumnFormula>(($F$33*$F39)+($G$33*$G39))</calculatedColumnFormula>
    </tableColumn>
    <tableColumn id="10" xr3:uid="{6EE411C1-E566-49D1-B877-E39440834EA6}" name="MAIS 3" dataDxfId="71">
      <calculatedColumnFormula>(($F$32*$F39)+($G$32*$G39))</calculatedColumnFormula>
    </tableColumn>
    <tableColumn id="11" xr3:uid="{566E12C9-90ED-4BD2-96E5-4428EB402C7C}" name="MAIS 2" dataDxfId="70">
      <calculatedColumnFormula>(($F$31*$F39)+($G$31*$G39))</calculatedColumnFormula>
    </tableColumn>
    <tableColumn id="12" xr3:uid="{B52A97EE-50F6-49EF-A4B0-A3FF241E02E9}" name="MAIS 1" dataDxfId="69">
      <calculatedColumnFormula>(($F$30*$F39)+($G$30*$G39))</calculatedColumnFormula>
    </tableColumn>
    <tableColumn id="13" xr3:uid="{37079F4F-9B01-4215-A1A1-48854D34D4DB}" name="PDO" dataDxfId="68">
      <calculatedColumnFormula>(($F$29*$F39)+($G$29*G39))</calculatedColumnFormula>
    </tableColumn>
    <tableColumn id="14" xr3:uid="{D2FC28DA-A2CE-42FA-8431-233072330363}" name="Fatalities2" dataDxfId="67">
      <calculatedColumnFormula>H39*$C$33</calculatedColumnFormula>
    </tableColumn>
    <tableColumn id="15" xr3:uid="{C7FD6B13-EBDA-4785-8A3A-5A6CC5E70223}" name="MAIS 53" dataDxfId="66">
      <calculatedColumnFormula>I39*$C$32</calculatedColumnFormula>
    </tableColumn>
    <tableColumn id="16" xr3:uid="{E2E32116-CB2B-4FE4-A762-58BFF621C97C}" name="MAIS 44" dataDxfId="65">
      <calculatedColumnFormula>J39*$C$31</calculatedColumnFormula>
    </tableColumn>
    <tableColumn id="17" xr3:uid="{20849BAF-CC7A-41B6-A318-DCE8AE519190}" name="MAIS 35" dataDxfId="64">
      <calculatedColumnFormula>K39*$C$30</calculatedColumnFormula>
    </tableColumn>
    <tableColumn id="18" xr3:uid="{278543B8-DE10-43B7-92B6-ACB6DE071B00}" name="MAIS 26" dataDxfId="63">
      <calculatedColumnFormula>L39*$C$29</calculatedColumnFormula>
    </tableColumn>
    <tableColumn id="19" xr3:uid="{A970CA01-526A-469E-9C05-1A3E35C3516A}" name="MAIS 17" dataDxfId="62">
      <calculatedColumnFormula>M39*$C$28</calculatedColumnFormula>
    </tableColumn>
    <tableColumn id="20" xr3:uid="{79C4CD8E-84FE-46A3-9D42-59D58F3320A9}" name="PDO8" dataDxfId="61">
      <calculatedColumnFormula>N39*$C$27</calculatedColumnFormula>
    </tableColumn>
    <tableColumn id="21" xr3:uid="{B66FDA07-BB3D-4B1A-BE53-8F0FC59B2D04}" name="Total" dataDxfId="60">
      <calculatedColumnFormula>SUM(O39:U39)</calculatedColumnFormula>
    </tableColumn>
    <tableColumn id="22" xr3:uid="{586C2504-B2BD-448C-812D-971631600816}" name="Discounted Crash Costs at 7%" dataDxfId="59">
      <calculatedColumnFormula>ROUND($V39/((1+$W$37)^($C39-$C$6)),0)</calculatedColumnFormula>
    </tableColumn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58850DE-AE52-4F77-B06D-F99F1091EBBF}" name="Table3" displayName="Table3" ref="B31:W51" totalsRowShown="0" headerRowDxfId="58" dataDxfId="57">
  <autoFilter ref="B31:W51" xr:uid="{658850DE-AE52-4F77-B06D-F99F1091EBBF}"/>
  <tableColumns count="22">
    <tableColumn id="1" xr3:uid="{8B4F4666-AA61-42B2-84D9-C7A3B3B115D4}" name="Project Year" dataDxfId="56"/>
    <tableColumn id="2" xr3:uid="{FC193918-7F77-454C-B2DF-1A27C3799A65}" name="Year" dataDxfId="55"/>
    <tableColumn id="3" xr3:uid="{BF6CADAF-8C68-4A38-9835-43FAAC050A5C}" name="EXPOSED POPULATION " dataDxfId="54">
      <calculatedColumnFormula>D31*(1+$C$8)</calculatedColumnFormula>
    </tableColumn>
    <tableColumn id="4" xr3:uid="{5ADC14FC-B7BD-48C5-823E-153EE47E98C5}" name="Estimated Fatalities" dataDxfId="53">
      <calculatedColumnFormula>D32*$C$6*$C$13/1000</calculatedColumnFormula>
    </tableColumn>
    <tableColumn id="5" xr3:uid="{1078D213-AC39-4B17-BB58-3D9F9FA3AF5B}" name="Estimated Injuries" dataDxfId="52">
      <calculatedColumnFormula>$D$32*$C$14/1000</calculatedColumnFormula>
    </tableColumn>
    <tableColumn id="6" xr3:uid="{302BB595-D617-4D9C-939D-B3A77CF69594}" name="Estimated Crashes" dataDxfId="51">
      <calculatedColumnFormula>D32*$C$6/1000</calculatedColumnFormula>
    </tableColumn>
    <tableColumn id="7" xr3:uid="{A00183C3-F57F-491D-A3A7-83B6C05018C6}" name="Fatalities" dataDxfId="50">
      <calculatedColumnFormula>E32</calculatedColumnFormula>
    </tableColumn>
    <tableColumn id="8" xr3:uid="{3ED95859-5124-4EA1-9426-F6E370CB3992}" name="MAIS 5" dataDxfId="49">
      <calculatedColumnFormula>(($F$27*$F32)+($G$27*$G32))</calculatedColumnFormula>
    </tableColumn>
    <tableColumn id="9" xr3:uid="{8E561D9F-A2D4-41B7-A96F-46E25365AFE9}" name="MAIS 4" dataDxfId="48">
      <calculatedColumnFormula>(($F$26*$F32)+($G$26*$G32))</calculatedColumnFormula>
    </tableColumn>
    <tableColumn id="10" xr3:uid="{750AE82B-F76C-490F-9531-00A5BEE0B822}" name="MAIS 3" dataDxfId="47">
      <calculatedColumnFormula>(($F$25*$F32)+($G$25*$G32))</calculatedColumnFormula>
    </tableColumn>
    <tableColumn id="11" xr3:uid="{5D4D6741-7A3D-40F4-AA2F-94342945190A}" name="MAIS 2" dataDxfId="46">
      <calculatedColumnFormula>(($F$24*$F32)+($G$24*$G32))</calculatedColumnFormula>
    </tableColumn>
    <tableColumn id="12" xr3:uid="{54758076-5C8B-4D37-B59B-F140038BDFB4}" name="MAIS 1" dataDxfId="45">
      <calculatedColumnFormula>(($F$23*$F32)+($G$23*$G32))</calculatedColumnFormula>
    </tableColumn>
    <tableColumn id="13" xr3:uid="{29041E9D-AA8C-452C-A047-465A18EB3B79}" name="PDO" dataDxfId="44">
      <calculatedColumnFormula>(($F$22*$F32)+($G$22*G32))</calculatedColumnFormula>
    </tableColumn>
    <tableColumn id="14" xr3:uid="{0C7E481F-316A-42A7-9F21-91EACC4312D0}" name="Fatalities2" dataDxfId="43">
      <calculatedColumnFormula>H32*$C$26</calculatedColumnFormula>
    </tableColumn>
    <tableColumn id="15" xr3:uid="{8C5F6EF0-1BD4-403D-A736-881611946C33}" name="MAIS 53" dataDxfId="42">
      <calculatedColumnFormula>I32*$C$25</calculatedColumnFormula>
    </tableColumn>
    <tableColumn id="16" xr3:uid="{7208E6DC-9391-44BD-89FE-35D9821600B5}" name="MAIS 44" dataDxfId="41">
      <calculatedColumnFormula>J32*$C$24</calculatedColumnFormula>
    </tableColumn>
    <tableColumn id="17" xr3:uid="{9799D3B6-3236-4745-8C58-DC0CB6D38907}" name="MAIS 35" dataDxfId="40">
      <calculatedColumnFormula>K32*$C$23</calculatedColumnFormula>
    </tableColumn>
    <tableColumn id="18" xr3:uid="{C1197DA2-C3D8-4972-ABFC-F146DB9EB17E}" name="MAIS 26" dataDxfId="39">
      <calculatedColumnFormula>L32*$C$22</calculatedColumnFormula>
    </tableColumn>
    <tableColumn id="19" xr3:uid="{2824DB74-F470-40B7-8F6C-5926E63EEBA4}" name="MAIS 17" dataDxfId="38">
      <calculatedColumnFormula>M32*$C$21</calculatedColumnFormula>
    </tableColumn>
    <tableColumn id="20" xr3:uid="{049E646D-B2CA-478D-90AD-CB3EFD9BEAE9}" name="PDO8" dataDxfId="37">
      <calculatedColumnFormula>N32*$C$20</calculatedColumnFormula>
    </tableColumn>
    <tableColumn id="21" xr3:uid="{E3945B81-65FB-4E72-9DDB-259D901D76CF}" name="Total" dataDxfId="36">
      <calculatedColumnFormula>SUM(O32:U32)</calculatedColumnFormula>
    </tableColumn>
    <tableColumn id="22" xr3:uid="{922A14A4-D819-48B3-872F-B52B450902FB}" name="Discounted Crash Costs at 7%" dataDxfId="35">
      <calculatedColumnFormula>ROUND($V32/((1+$C$9)^($C32-$C$10)),0)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safety.fhwa.dot.gov/hsip/docs/fhwasa17071.pdf" TargetMode="External"/><Relationship Id="rId4" Type="http://schemas.openxmlformats.org/officeDocument/2006/relationships/table" Target="../tables/table4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safety.fhwa.dot.gov/hsip/docs/fhwasa17071.pdf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bea.gov/scb/account_articles/national/wlth2594/tableC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A64CD-0655-48C9-8ACB-46CB5A1D3B6E}">
  <sheetPr>
    <tabColor rgb="FF7030A0"/>
  </sheetPr>
  <dimension ref="B1:C33"/>
  <sheetViews>
    <sheetView workbookViewId="0">
      <selection activeCell="B40" sqref="B40"/>
    </sheetView>
  </sheetViews>
  <sheetFormatPr defaultRowHeight="14.4" x14ac:dyDescent="0.55000000000000004"/>
  <cols>
    <col min="2" max="2" width="44.26171875" bestFit="1" customWidth="1"/>
    <col min="3" max="3" width="20.68359375" customWidth="1"/>
    <col min="4" max="6" width="27.578125" customWidth="1"/>
  </cols>
  <sheetData>
    <row r="1" spans="2:3" s="51" customFormat="1" x14ac:dyDescent="0.55000000000000004"/>
    <row r="2" spans="2:3" s="51" customFormat="1" ht="14.7" thickBot="1" x14ac:dyDescent="0.6"/>
    <row r="3" spans="2:3" ht="14.7" thickTop="1" x14ac:dyDescent="0.55000000000000004">
      <c r="B3" s="703"/>
      <c r="C3" s="704" t="s">
        <v>60</v>
      </c>
    </row>
    <row r="4" spans="2:3" ht="17.7" x14ac:dyDescent="0.55000000000000004">
      <c r="B4" s="796" t="s">
        <v>73</v>
      </c>
      <c r="C4" s="797"/>
    </row>
    <row r="5" spans="2:3" x14ac:dyDescent="0.55000000000000004">
      <c r="B5" s="794" t="s">
        <v>61</v>
      </c>
      <c r="C5" s="687">
        <f>(BCA_CapitalCosts!B11+BCA_CapitalCosts!B12)/10^6</f>
        <v>61.695205946158993</v>
      </c>
    </row>
    <row r="6" spans="2:3" x14ac:dyDescent="0.55000000000000004">
      <c r="B6" s="688" t="s">
        <v>62</v>
      </c>
      <c r="C6" s="689">
        <f>C5</f>
        <v>61.695205946158993</v>
      </c>
    </row>
    <row r="7" spans="2:3" ht="17.7" x14ac:dyDescent="0.55000000000000004">
      <c r="B7" s="796" t="s">
        <v>74</v>
      </c>
      <c r="C7" s="797"/>
    </row>
    <row r="8" spans="2:3" x14ac:dyDescent="0.55000000000000004">
      <c r="B8" s="690" t="s">
        <v>222</v>
      </c>
      <c r="C8" s="691"/>
    </row>
    <row r="9" spans="2:3" x14ac:dyDescent="0.55000000000000004">
      <c r="B9" s="692" t="s">
        <v>423</v>
      </c>
      <c r="C9" s="687">
        <f>'EQUITY Ped &amp; Bike'!N26/10^6</f>
        <v>9.6845347528439234</v>
      </c>
    </row>
    <row r="10" spans="2:3" x14ac:dyDescent="0.55000000000000004">
      <c r="B10" s="692" t="s">
        <v>422</v>
      </c>
      <c r="C10" s="687">
        <f>'EQUITY - Bike Commuter'!D27/10^6</f>
        <v>6.9603607949113027</v>
      </c>
    </row>
    <row r="11" spans="2:3" x14ac:dyDescent="0.55000000000000004">
      <c r="B11" s="692" t="s">
        <v>65</v>
      </c>
      <c r="C11" s="691">
        <f>SUM(C9:C10)</f>
        <v>16.644895547755226</v>
      </c>
    </row>
    <row r="12" spans="2:3" x14ac:dyDescent="0.55000000000000004">
      <c r="B12" s="798" t="s">
        <v>275</v>
      </c>
      <c r="C12" s="799"/>
    </row>
    <row r="13" spans="2:3" x14ac:dyDescent="0.55000000000000004">
      <c r="B13" s="693" t="s">
        <v>456</v>
      </c>
      <c r="C13" s="694">
        <f>'MOBILITY - Bike Commuter'!D27/10^6</f>
        <v>48.70338614058268</v>
      </c>
    </row>
    <row r="14" spans="2:3" x14ac:dyDescent="0.55000000000000004">
      <c r="B14" s="693" t="s">
        <v>424</v>
      </c>
      <c r="C14" s="694">
        <f>'MOBILITY Bike Commuter STADIUM'!D27/10^6</f>
        <v>2.7581791058856235</v>
      </c>
    </row>
    <row r="15" spans="2:3" x14ac:dyDescent="0.55000000000000004">
      <c r="B15" s="693" t="s">
        <v>455</v>
      </c>
      <c r="C15" s="687">
        <f>'MOBILITY Ped &amp; Bike'!N26/10^6</f>
        <v>34.801932371593551</v>
      </c>
    </row>
    <row r="16" spans="2:3" x14ac:dyDescent="0.55000000000000004">
      <c r="B16" s="695" t="s">
        <v>454</v>
      </c>
      <c r="C16" s="696">
        <f>'MOBILITY Ped &amp; Bike UW '!N26/10^6</f>
        <v>10.727969141550096</v>
      </c>
    </row>
    <row r="17" spans="2:3" x14ac:dyDescent="0.55000000000000004">
      <c r="B17" s="693" t="s">
        <v>453</v>
      </c>
      <c r="C17" s="687">
        <f>'MOBILITY Ped &amp; Bike STADIUM '!N26/10^6</f>
        <v>13.720921754532613</v>
      </c>
    </row>
    <row r="18" spans="2:3" x14ac:dyDescent="0.55000000000000004">
      <c r="B18" s="692" t="s">
        <v>65</v>
      </c>
      <c r="C18" s="689">
        <f>SUM(C13:C17)</f>
        <v>110.71238851414455</v>
      </c>
    </row>
    <row r="19" spans="2:3" x14ac:dyDescent="0.55000000000000004">
      <c r="B19" s="800" t="s">
        <v>95</v>
      </c>
      <c r="C19" s="801"/>
    </row>
    <row r="20" spans="2:3" x14ac:dyDescent="0.55000000000000004">
      <c r="B20" s="692" t="s">
        <v>468</v>
      </c>
      <c r="C20" s="687">
        <f>('HEALTH Mortality Reduction'!G29+'HEALTH Mortality Reduction'!J29)/10^6</f>
        <v>83.360768634362373</v>
      </c>
    </row>
    <row r="21" spans="2:3" x14ac:dyDescent="0.55000000000000004">
      <c r="B21" s="692" t="s">
        <v>65</v>
      </c>
      <c r="C21" s="697">
        <f>C20</f>
        <v>83.360768634362373</v>
      </c>
    </row>
    <row r="22" spans="2:3" x14ac:dyDescent="0.55000000000000004">
      <c r="B22" s="798" t="s">
        <v>63</v>
      </c>
      <c r="C22" s="799"/>
    </row>
    <row r="23" spans="2:3" x14ac:dyDescent="0.55000000000000004">
      <c r="B23" s="692" t="s">
        <v>64</v>
      </c>
      <c r="C23" s="687">
        <f>'SAFETY BUILD Crash Reduction'!W56/1000000</f>
        <v>1.4134910000000001</v>
      </c>
    </row>
    <row r="24" spans="2:3" x14ac:dyDescent="0.55000000000000004">
      <c r="B24" s="692" t="s">
        <v>65</v>
      </c>
      <c r="C24" s="691">
        <f>C23</f>
        <v>1.4134910000000001</v>
      </c>
    </row>
    <row r="25" spans="2:3" x14ac:dyDescent="0.55000000000000004">
      <c r="B25" s="798" t="s">
        <v>66</v>
      </c>
      <c r="C25" s="799"/>
    </row>
    <row r="26" spans="2:3" x14ac:dyDescent="0.55000000000000004">
      <c r="B26" s="693" t="s">
        <v>67</v>
      </c>
      <c r="C26" s="687">
        <f>'OPERATIONAL Residual'!B42/10^6</f>
        <v>7.0824242695607342</v>
      </c>
    </row>
    <row r="27" spans="2:3" x14ac:dyDescent="0.55000000000000004">
      <c r="B27" s="692" t="s">
        <v>65</v>
      </c>
      <c r="C27" s="689">
        <f>SUM(C26:C26)</f>
        <v>7.0824242695607342</v>
      </c>
    </row>
    <row r="28" spans="2:3" x14ac:dyDescent="0.55000000000000004">
      <c r="B28" s="692"/>
      <c r="C28" s="697"/>
    </row>
    <row r="29" spans="2:3" x14ac:dyDescent="0.55000000000000004">
      <c r="B29" s="698" t="s">
        <v>68</v>
      </c>
      <c r="C29" s="689">
        <f>C24+C11+C18+C21+C27</f>
        <v>219.21396796582289</v>
      </c>
    </row>
    <row r="30" spans="2:3" ht="17.7" x14ac:dyDescent="0.55000000000000004">
      <c r="B30" s="796" t="s">
        <v>69</v>
      </c>
      <c r="C30" s="797"/>
    </row>
    <row r="31" spans="2:3" x14ac:dyDescent="0.55000000000000004">
      <c r="B31" s="699" t="s">
        <v>75</v>
      </c>
      <c r="C31" s="700">
        <f>C29-C6</f>
        <v>157.51876201966388</v>
      </c>
    </row>
    <row r="32" spans="2:3" ht="14.7" thickBot="1" x14ac:dyDescent="0.6">
      <c r="B32" s="701" t="s">
        <v>70</v>
      </c>
      <c r="C32" s="702">
        <f>C29/C6</f>
        <v>3.5531766950762673</v>
      </c>
    </row>
    <row r="33" ht="14.7" thickTop="1" x14ac:dyDescent="0.55000000000000004"/>
  </sheetData>
  <mergeCells count="7">
    <mergeCell ref="B30:C30"/>
    <mergeCell ref="B4:C4"/>
    <mergeCell ref="B7:C7"/>
    <mergeCell ref="B22:C22"/>
    <mergeCell ref="B25:C25"/>
    <mergeCell ref="B12:C12"/>
    <mergeCell ref="B19:C1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226B5-41A6-4A1C-B9B0-B569E15624AC}">
  <sheetPr>
    <tabColor theme="0" tint="-0.249977111117893"/>
  </sheetPr>
  <dimension ref="A1:O56"/>
  <sheetViews>
    <sheetView workbookViewId="0">
      <selection sqref="A1:D1"/>
    </sheetView>
  </sheetViews>
  <sheetFormatPr defaultRowHeight="14.4" x14ac:dyDescent="0.55000000000000004"/>
  <cols>
    <col min="1" max="1" width="12.41796875" customWidth="1"/>
    <col min="2" max="2" width="16" customWidth="1"/>
    <col min="3" max="3" width="15.26171875" customWidth="1"/>
    <col min="4" max="4" width="17.41796875" customWidth="1"/>
    <col min="12" max="12" width="28.578125" customWidth="1"/>
  </cols>
  <sheetData>
    <row r="1" spans="1:15" ht="14.7" thickBot="1" x14ac:dyDescent="0.6">
      <c r="A1" s="925" t="s">
        <v>280</v>
      </c>
      <c r="B1" s="925"/>
      <c r="C1" s="925"/>
      <c r="D1" s="925"/>
    </row>
    <row r="2" spans="1:15" ht="14.7" thickBot="1" x14ac:dyDescent="0.6">
      <c r="A2" s="926" t="s">
        <v>173</v>
      </c>
      <c r="B2" s="927"/>
      <c r="C2" s="927"/>
      <c r="D2" s="928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x14ac:dyDescent="0.55000000000000004">
      <c r="A3" s="202" t="s">
        <v>169</v>
      </c>
      <c r="B3" s="203"/>
      <c r="C3" s="312"/>
      <c r="D3" s="156">
        <v>0.02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ht="14.7" thickBot="1" x14ac:dyDescent="0.6">
      <c r="A4" s="313" t="s">
        <v>278</v>
      </c>
      <c r="B4" s="314"/>
      <c r="C4" s="315"/>
      <c r="D4" s="763">
        <f>'TRIP GENERATION'!E35</f>
        <v>167.03929459459465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14.7" thickTop="1" x14ac:dyDescent="0.55000000000000004">
      <c r="A5" s="923"/>
      <c r="B5" s="923"/>
      <c r="C5" s="923"/>
      <c r="D5" s="924"/>
      <c r="E5" s="19"/>
      <c r="F5" s="19"/>
      <c r="G5" s="19"/>
      <c r="H5" s="916"/>
      <c r="I5" s="916"/>
      <c r="J5" s="916"/>
      <c r="K5" s="19"/>
      <c r="L5" s="19"/>
      <c r="M5" s="19"/>
      <c r="N5" s="19"/>
      <c r="O5" s="19"/>
    </row>
    <row r="6" spans="1:15" ht="43.2" x14ac:dyDescent="0.55000000000000004">
      <c r="A6" s="45" t="s">
        <v>170</v>
      </c>
      <c r="B6" s="45" t="s">
        <v>175</v>
      </c>
      <c r="C6" s="36" t="s">
        <v>279</v>
      </c>
      <c r="D6" s="161" t="s">
        <v>93</v>
      </c>
      <c r="E6" s="19"/>
      <c r="F6" s="19"/>
      <c r="G6" s="19"/>
      <c r="H6" s="37"/>
      <c r="I6" s="37"/>
      <c r="J6" s="37"/>
      <c r="K6" s="19"/>
      <c r="L6" s="19"/>
      <c r="M6" s="19"/>
      <c r="N6" s="19"/>
      <c r="O6" s="19"/>
    </row>
    <row r="7" spans="1:15" x14ac:dyDescent="0.55000000000000004">
      <c r="A7" s="155">
        <f>$D$4*2</f>
        <v>334.0785891891893</v>
      </c>
      <c r="B7" s="28">
        <f>A7*50*5*2</f>
        <v>167039.29459459466</v>
      </c>
      <c r="C7" s="31">
        <v>12</v>
      </c>
      <c r="D7" s="163">
        <f>B7*C7</f>
        <v>2004471.535135136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x14ac:dyDescent="0.55000000000000004">
      <c r="A8" s="155">
        <f t="shared" ref="A8:A26" si="0">A7*(1+$D$3)</f>
        <v>340.7601609729731</v>
      </c>
      <c r="B8" s="28">
        <f t="shared" ref="B8:B26" si="1">A8*50*5*2</f>
        <v>170380.08048648655</v>
      </c>
      <c r="C8" s="31">
        <v>12</v>
      </c>
      <c r="D8" s="163">
        <f t="shared" ref="D8:D26" si="2">B8*C8</f>
        <v>2044560.9658378386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x14ac:dyDescent="0.55000000000000004">
      <c r="A9" s="155">
        <f t="shared" si="0"/>
        <v>347.57536419243257</v>
      </c>
      <c r="B9" s="28">
        <f t="shared" si="1"/>
        <v>173787.6820962163</v>
      </c>
      <c r="C9" s="31">
        <v>12</v>
      </c>
      <c r="D9" s="163">
        <f t="shared" si="2"/>
        <v>2085452.1851545956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x14ac:dyDescent="0.55000000000000004">
      <c r="A10" s="155">
        <f t="shared" si="0"/>
        <v>354.52687147628126</v>
      </c>
      <c r="B10" s="28">
        <f t="shared" si="1"/>
        <v>177263.4357381406</v>
      </c>
      <c r="C10" s="31">
        <v>12</v>
      </c>
      <c r="D10" s="163">
        <f t="shared" si="2"/>
        <v>2127161.2288576872</v>
      </c>
      <c r="E10" s="42"/>
      <c r="F10" s="42"/>
      <c r="G10" s="42"/>
      <c r="H10" s="42"/>
      <c r="I10" s="42"/>
      <c r="J10" s="19"/>
      <c r="K10" s="19"/>
      <c r="L10" s="19"/>
      <c r="M10" s="19"/>
      <c r="N10" s="19"/>
      <c r="O10" s="19"/>
    </row>
    <row r="11" spans="1:15" x14ac:dyDescent="0.55000000000000004">
      <c r="A11" s="155">
        <f t="shared" si="0"/>
        <v>361.61740890580688</v>
      </c>
      <c r="B11" s="28">
        <f t="shared" si="1"/>
        <v>180808.70445290345</v>
      </c>
      <c r="C11" s="31">
        <v>12</v>
      </c>
      <c r="D11" s="163">
        <f t="shared" si="2"/>
        <v>2169704.4534348412</v>
      </c>
      <c r="E11" s="41"/>
      <c r="F11" s="41"/>
      <c r="G11" s="41"/>
      <c r="H11" s="41"/>
      <c r="I11" s="41"/>
      <c r="J11" s="19"/>
      <c r="K11" s="19"/>
      <c r="L11" s="19"/>
      <c r="M11" s="19"/>
      <c r="N11" s="19"/>
      <c r="O11" s="19"/>
    </row>
    <row r="12" spans="1:15" x14ac:dyDescent="0.55000000000000004">
      <c r="A12" s="155">
        <f t="shared" si="0"/>
        <v>368.84975708392301</v>
      </c>
      <c r="B12" s="28">
        <f t="shared" si="1"/>
        <v>184424.87854196152</v>
      </c>
      <c r="C12" s="31">
        <v>12</v>
      </c>
      <c r="D12" s="163">
        <f t="shared" si="2"/>
        <v>2213098.5425035381</v>
      </c>
      <c r="E12" s="41"/>
      <c r="F12" s="37"/>
      <c r="G12" s="37"/>
      <c r="H12" s="37"/>
      <c r="I12" s="37"/>
      <c r="J12" s="19"/>
      <c r="K12" s="19"/>
      <c r="L12" s="19"/>
      <c r="M12" s="19"/>
      <c r="N12" s="19"/>
      <c r="O12" s="19"/>
    </row>
    <row r="13" spans="1:15" x14ac:dyDescent="0.55000000000000004">
      <c r="A13" s="155">
        <f t="shared" si="0"/>
        <v>376.2267522256015</v>
      </c>
      <c r="B13" s="28">
        <f t="shared" si="1"/>
        <v>188113.37611280076</v>
      </c>
      <c r="C13" s="31">
        <v>12</v>
      </c>
      <c r="D13" s="163">
        <f t="shared" si="2"/>
        <v>2257360.513353609</v>
      </c>
      <c r="E13" s="38"/>
      <c r="F13" s="39"/>
      <c r="G13" s="39"/>
      <c r="H13" s="39"/>
      <c r="I13" s="39"/>
      <c r="J13" s="44"/>
      <c r="K13" s="44"/>
      <c r="L13" s="44"/>
      <c r="M13" s="44"/>
      <c r="N13" s="44"/>
      <c r="O13" s="44"/>
    </row>
    <row r="14" spans="1:15" ht="14.5" customHeight="1" x14ac:dyDescent="0.55000000000000004">
      <c r="A14" s="155">
        <f t="shared" si="0"/>
        <v>383.75128727011355</v>
      </c>
      <c r="B14" s="28">
        <f t="shared" si="1"/>
        <v>191875.64363505677</v>
      </c>
      <c r="C14" s="31">
        <v>12</v>
      </c>
      <c r="D14" s="163">
        <f t="shared" si="2"/>
        <v>2302507.7236206811</v>
      </c>
      <c r="E14" s="40"/>
      <c r="F14" s="39"/>
      <c r="G14" s="39"/>
      <c r="H14" s="39"/>
      <c r="I14" s="39"/>
      <c r="J14" s="43"/>
      <c r="K14" s="43"/>
      <c r="L14" s="43"/>
      <c r="M14" s="43"/>
      <c r="N14" s="43"/>
      <c r="O14" s="43"/>
    </row>
    <row r="15" spans="1:15" x14ac:dyDescent="0.55000000000000004">
      <c r="A15" s="155">
        <f t="shared" si="0"/>
        <v>391.4263130155158</v>
      </c>
      <c r="B15" s="28">
        <f t="shared" si="1"/>
        <v>195713.1565077579</v>
      </c>
      <c r="C15" s="31">
        <v>12</v>
      </c>
      <c r="D15" s="163">
        <f t="shared" si="2"/>
        <v>2348557.8780930946</v>
      </c>
      <c r="E15" s="40"/>
      <c r="F15" s="39"/>
      <c r="G15" s="39"/>
      <c r="H15" s="39"/>
      <c r="I15" s="39"/>
      <c r="J15" s="43"/>
      <c r="K15" s="43"/>
      <c r="L15" s="43"/>
      <c r="M15" s="43"/>
      <c r="N15" s="43"/>
      <c r="O15" s="43"/>
    </row>
    <row r="16" spans="1:15" x14ac:dyDescent="0.55000000000000004">
      <c r="A16" s="155">
        <f t="shared" si="0"/>
        <v>399.2548392758261</v>
      </c>
      <c r="B16" s="28">
        <f t="shared" si="1"/>
        <v>199627.41963791306</v>
      </c>
      <c r="C16" s="31">
        <v>12</v>
      </c>
      <c r="D16" s="163">
        <f t="shared" si="2"/>
        <v>2395529.0356549565</v>
      </c>
      <c r="E16" s="40"/>
      <c r="F16" s="39"/>
      <c r="G16" s="39"/>
      <c r="H16" s="39"/>
      <c r="I16" s="39"/>
      <c r="J16" s="43"/>
      <c r="K16" s="43"/>
      <c r="L16" s="43"/>
      <c r="M16" s="43"/>
      <c r="N16" s="43"/>
      <c r="O16" s="43"/>
    </row>
    <row r="17" spans="1:15" x14ac:dyDescent="0.55000000000000004">
      <c r="A17" s="155">
        <f t="shared" si="0"/>
        <v>407.23993606134263</v>
      </c>
      <c r="B17" s="28">
        <f t="shared" si="1"/>
        <v>203619.9680306713</v>
      </c>
      <c r="C17" s="31">
        <v>12</v>
      </c>
      <c r="D17" s="163">
        <f t="shared" si="2"/>
        <v>2443439.6163680553</v>
      </c>
      <c r="E17" s="40"/>
      <c r="F17" s="39"/>
      <c r="G17" s="39"/>
      <c r="H17" s="39"/>
      <c r="I17" s="39"/>
      <c r="J17" s="43"/>
      <c r="K17" s="43"/>
      <c r="L17" s="43"/>
      <c r="M17" s="43"/>
      <c r="N17" s="43"/>
      <c r="O17" s="43"/>
    </row>
    <row r="18" spans="1:15" x14ac:dyDescent="0.55000000000000004">
      <c r="A18" s="155">
        <f t="shared" si="0"/>
        <v>415.38473478256947</v>
      </c>
      <c r="B18" s="28">
        <f t="shared" si="1"/>
        <v>207692.36739128473</v>
      </c>
      <c r="C18" s="31">
        <v>12</v>
      </c>
      <c r="D18" s="163">
        <f t="shared" si="2"/>
        <v>2492308.4086954165</v>
      </c>
      <c r="E18" s="40"/>
      <c r="F18" s="39"/>
      <c r="G18" s="39"/>
      <c r="H18" s="39"/>
      <c r="I18" s="39"/>
      <c r="J18" s="43"/>
      <c r="K18" s="43"/>
      <c r="L18" s="43"/>
      <c r="M18" s="43"/>
      <c r="N18" s="43"/>
      <c r="O18" s="43"/>
    </row>
    <row r="19" spans="1:15" x14ac:dyDescent="0.55000000000000004">
      <c r="A19" s="155">
        <f t="shared" si="0"/>
        <v>423.69242947822084</v>
      </c>
      <c r="B19" s="28">
        <f t="shared" si="1"/>
        <v>211846.21473911044</v>
      </c>
      <c r="C19" s="31">
        <v>12</v>
      </c>
      <c r="D19" s="163">
        <f t="shared" si="2"/>
        <v>2542154.5768693252</v>
      </c>
      <c r="E19" s="40"/>
      <c r="F19" s="39"/>
      <c r="G19" s="39"/>
      <c r="H19" s="39"/>
      <c r="I19" s="39"/>
      <c r="J19" s="43"/>
      <c r="K19" s="43"/>
      <c r="L19" s="43"/>
      <c r="M19" s="43"/>
      <c r="N19" s="43"/>
      <c r="O19" s="43"/>
    </row>
    <row r="20" spans="1:15" x14ac:dyDescent="0.55000000000000004">
      <c r="A20" s="155">
        <f t="shared" si="0"/>
        <v>432.16627806778524</v>
      </c>
      <c r="B20" s="28">
        <f t="shared" si="1"/>
        <v>216083.13903389263</v>
      </c>
      <c r="C20" s="31">
        <v>12</v>
      </c>
      <c r="D20" s="163">
        <f t="shared" si="2"/>
        <v>2592997.6684067114</v>
      </c>
      <c r="E20" s="40"/>
      <c r="F20" s="39"/>
      <c r="G20" s="39"/>
      <c r="H20" s="39"/>
      <c r="I20" s="39"/>
      <c r="J20" s="43"/>
      <c r="K20" s="43"/>
      <c r="L20" s="43"/>
      <c r="M20" s="43"/>
      <c r="N20" s="43"/>
      <c r="O20" s="43"/>
    </row>
    <row r="21" spans="1:15" x14ac:dyDescent="0.55000000000000004">
      <c r="A21" s="155">
        <f t="shared" si="0"/>
        <v>440.80960362914095</v>
      </c>
      <c r="B21" s="28">
        <f t="shared" si="1"/>
        <v>220404.8018145705</v>
      </c>
      <c r="C21" s="31">
        <v>12</v>
      </c>
      <c r="D21" s="163">
        <f t="shared" si="2"/>
        <v>2644857.6217748458</v>
      </c>
      <c r="E21" s="40"/>
      <c r="F21" s="39"/>
      <c r="G21" s="39"/>
      <c r="H21" s="39"/>
      <c r="I21" s="39"/>
      <c r="J21" s="43"/>
      <c r="K21" s="43"/>
      <c r="L21" s="43"/>
      <c r="M21" s="43"/>
      <c r="N21" s="43"/>
      <c r="O21" s="43"/>
    </row>
    <row r="22" spans="1:15" x14ac:dyDescent="0.55000000000000004">
      <c r="A22" s="155">
        <f t="shared" si="0"/>
        <v>449.6257957017238</v>
      </c>
      <c r="B22" s="28">
        <f t="shared" si="1"/>
        <v>224812.89785086192</v>
      </c>
      <c r="C22" s="31">
        <v>12</v>
      </c>
      <c r="D22" s="163">
        <f t="shared" si="2"/>
        <v>2697754.7742103431</v>
      </c>
      <c r="E22" s="40"/>
      <c r="F22" s="39"/>
      <c r="G22" s="39"/>
      <c r="H22" s="39"/>
      <c r="I22" s="39"/>
      <c r="J22" s="43"/>
      <c r="K22" s="43"/>
      <c r="L22" s="43"/>
      <c r="M22" s="43"/>
      <c r="N22" s="43"/>
      <c r="O22" s="43"/>
    </row>
    <row r="23" spans="1:15" x14ac:dyDescent="0.55000000000000004">
      <c r="A23" s="155">
        <f t="shared" si="0"/>
        <v>458.61831161575827</v>
      </c>
      <c r="B23" s="28">
        <f t="shared" si="1"/>
        <v>229309.15580787914</v>
      </c>
      <c r="C23" s="31">
        <v>12</v>
      </c>
      <c r="D23" s="163">
        <f t="shared" si="2"/>
        <v>2751709.8696945496</v>
      </c>
      <c r="E23" s="40"/>
      <c r="F23" s="39"/>
      <c r="G23" s="39"/>
      <c r="H23" s="39"/>
      <c r="I23" s="39"/>
      <c r="J23" s="43"/>
      <c r="K23" s="43"/>
      <c r="L23" s="43"/>
      <c r="M23" s="43"/>
      <c r="N23" s="43"/>
      <c r="O23" s="43"/>
    </row>
    <row r="24" spans="1:15" x14ac:dyDescent="0.55000000000000004">
      <c r="A24" s="155">
        <f t="shared" si="0"/>
        <v>467.79067784807347</v>
      </c>
      <c r="B24" s="28">
        <f t="shared" si="1"/>
        <v>233895.33892403674</v>
      </c>
      <c r="C24" s="31">
        <v>12</v>
      </c>
      <c r="D24" s="163">
        <f t="shared" si="2"/>
        <v>2806744.067088441</v>
      </c>
      <c r="E24" s="40"/>
      <c r="F24" s="39"/>
      <c r="G24" s="39"/>
      <c r="H24" s="39"/>
      <c r="I24" s="39"/>
      <c r="J24" s="43"/>
      <c r="K24" s="43"/>
      <c r="L24" s="43"/>
      <c r="M24" s="43"/>
      <c r="N24" s="43"/>
      <c r="O24" s="43"/>
    </row>
    <row r="25" spans="1:15" x14ac:dyDescent="0.55000000000000004">
      <c r="A25" s="155">
        <f t="shared" si="0"/>
        <v>477.14649140503496</v>
      </c>
      <c r="B25" s="28">
        <f t="shared" si="1"/>
        <v>238573.24570251748</v>
      </c>
      <c r="C25" s="31">
        <v>12</v>
      </c>
      <c r="D25" s="163">
        <f t="shared" si="2"/>
        <v>2862878.9484302099</v>
      </c>
      <c r="E25" s="40"/>
      <c r="F25" s="39"/>
      <c r="G25" s="39"/>
      <c r="H25" s="39"/>
      <c r="I25" s="39"/>
      <c r="J25" s="43"/>
      <c r="K25" s="43"/>
      <c r="L25" s="43"/>
      <c r="M25" s="43"/>
      <c r="N25" s="43"/>
      <c r="O25" s="43"/>
    </row>
    <row r="26" spans="1:15" ht="14.7" thickBot="1" x14ac:dyDescent="0.6">
      <c r="A26" s="166">
        <f t="shared" si="0"/>
        <v>486.68942123313565</v>
      </c>
      <c r="B26" s="167">
        <f t="shared" si="1"/>
        <v>243344.71061656781</v>
      </c>
      <c r="C26" s="170">
        <v>12</v>
      </c>
      <c r="D26" s="171">
        <f t="shared" si="2"/>
        <v>2920136.5273988135</v>
      </c>
      <c r="E26" s="40"/>
      <c r="F26" s="39"/>
      <c r="G26" s="39"/>
      <c r="H26" s="39"/>
      <c r="I26" s="39"/>
      <c r="J26" s="43"/>
      <c r="K26" s="43"/>
      <c r="L26" s="43"/>
      <c r="M26" s="43"/>
      <c r="N26" s="43"/>
      <c r="O26" s="43"/>
    </row>
    <row r="27" spans="1:15" ht="16.2" thickTop="1" thickBot="1" x14ac:dyDescent="0.65">
      <c r="A27" s="173"/>
      <c r="B27" s="174"/>
      <c r="C27" s="174"/>
      <c r="D27" s="764">
        <f>SUM(D7:D26)</f>
        <v>48703386.140582681</v>
      </c>
      <c r="E27" s="40"/>
      <c r="F27" s="39"/>
      <c r="G27" s="39"/>
      <c r="H27" s="39"/>
      <c r="I27" s="39"/>
      <c r="J27" s="43"/>
      <c r="K27" s="43"/>
      <c r="L27" s="43"/>
      <c r="M27" s="43"/>
      <c r="N27" s="43"/>
      <c r="O27" s="43"/>
    </row>
    <row r="28" spans="1:15" ht="14.7" thickTop="1" x14ac:dyDescent="0.55000000000000004">
      <c r="A28" s="10" t="s">
        <v>277</v>
      </c>
      <c r="E28" s="40"/>
      <c r="F28" s="39"/>
      <c r="G28" s="39"/>
      <c r="H28" s="39"/>
      <c r="I28" s="39"/>
      <c r="J28" s="43"/>
      <c r="K28" s="43"/>
      <c r="L28" s="43"/>
      <c r="M28" s="43"/>
      <c r="N28" s="43"/>
      <c r="O28" s="43"/>
    </row>
    <row r="29" spans="1:15" x14ac:dyDescent="0.55000000000000004">
      <c r="A29" s="316" t="s">
        <v>282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1:15" x14ac:dyDescent="0.55000000000000004">
      <c r="A30" s="317" t="s">
        <v>281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1:15" x14ac:dyDescent="0.55000000000000004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1:15" x14ac:dyDescent="0.55000000000000004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1:15" x14ac:dyDescent="0.55000000000000004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1:15" x14ac:dyDescent="0.55000000000000004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1:15" x14ac:dyDescent="0.55000000000000004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x14ac:dyDescent="0.55000000000000004">
      <c r="A36" s="153"/>
      <c r="B36" s="153"/>
      <c r="C36" s="153"/>
      <c r="D36" s="153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15" x14ac:dyDescent="0.55000000000000004">
      <c r="A37" s="153"/>
      <c r="B37" s="153"/>
      <c r="C37" s="153"/>
      <c r="D37" s="153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15" x14ac:dyDescent="0.55000000000000004">
      <c r="A38" s="153"/>
      <c r="B38" s="153"/>
      <c r="C38" s="153"/>
      <c r="D38" s="153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15" x14ac:dyDescent="0.55000000000000004">
      <c r="A39" s="153"/>
      <c r="B39" s="153"/>
      <c r="C39" s="153"/>
      <c r="D39" s="153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  <row r="40" spans="1:15" x14ac:dyDescent="0.55000000000000004">
      <c r="A40" s="153"/>
      <c r="B40" s="153"/>
      <c r="C40" s="153"/>
      <c r="D40" s="153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</row>
    <row r="41" spans="1:15" x14ac:dyDescent="0.55000000000000004">
      <c r="A41" s="154"/>
      <c r="B41" s="154"/>
      <c r="C41" s="154"/>
      <c r="D41" s="154"/>
    </row>
    <row r="42" spans="1:15" x14ac:dyDescent="0.55000000000000004">
      <c r="A42" s="154"/>
      <c r="B42" s="154"/>
      <c r="C42" s="154"/>
      <c r="D42" s="154"/>
    </row>
    <row r="43" spans="1:15" x14ac:dyDescent="0.55000000000000004">
      <c r="A43" s="154"/>
      <c r="B43" s="154"/>
      <c r="C43" s="154"/>
      <c r="D43" s="154"/>
    </row>
    <row r="44" spans="1:15" x14ac:dyDescent="0.55000000000000004">
      <c r="A44" s="154"/>
      <c r="B44" s="154"/>
      <c r="C44" s="154"/>
      <c r="D44" s="154"/>
    </row>
    <row r="45" spans="1:15" x14ac:dyDescent="0.55000000000000004">
      <c r="A45" s="154"/>
      <c r="B45" s="154"/>
      <c r="C45" s="154"/>
      <c r="D45" s="154"/>
    </row>
    <row r="46" spans="1:15" x14ac:dyDescent="0.55000000000000004">
      <c r="A46" s="154"/>
      <c r="B46" s="154"/>
      <c r="C46" s="154"/>
      <c r="D46" s="154"/>
    </row>
    <row r="47" spans="1:15" x14ac:dyDescent="0.55000000000000004">
      <c r="A47" s="154"/>
      <c r="B47" s="154"/>
      <c r="C47" s="154"/>
      <c r="D47" s="154"/>
    </row>
    <row r="48" spans="1:15" x14ac:dyDescent="0.55000000000000004">
      <c r="A48" s="154"/>
      <c r="B48" s="154"/>
      <c r="C48" s="154"/>
      <c r="D48" s="154"/>
    </row>
    <row r="49" spans="1:4" x14ac:dyDescent="0.55000000000000004">
      <c r="A49" s="154"/>
      <c r="B49" s="154"/>
      <c r="C49" s="154"/>
      <c r="D49" s="154"/>
    </row>
    <row r="50" spans="1:4" x14ac:dyDescent="0.55000000000000004">
      <c r="A50" s="154"/>
      <c r="B50" s="154"/>
      <c r="C50" s="154"/>
      <c r="D50" s="154"/>
    </row>
    <row r="51" spans="1:4" x14ac:dyDescent="0.55000000000000004">
      <c r="A51" s="154"/>
      <c r="B51" s="154"/>
      <c r="C51" s="154"/>
      <c r="D51" s="154"/>
    </row>
    <row r="52" spans="1:4" x14ac:dyDescent="0.55000000000000004">
      <c r="A52" s="154"/>
      <c r="B52" s="154"/>
      <c r="C52" s="154"/>
      <c r="D52" s="154"/>
    </row>
    <row r="53" spans="1:4" x14ac:dyDescent="0.55000000000000004">
      <c r="A53" s="154"/>
      <c r="B53" s="154"/>
      <c r="C53" s="154"/>
      <c r="D53" s="154"/>
    </row>
    <row r="54" spans="1:4" x14ac:dyDescent="0.55000000000000004">
      <c r="A54" s="154"/>
      <c r="B54" s="154"/>
      <c r="C54" s="154"/>
      <c r="D54" s="154"/>
    </row>
    <row r="55" spans="1:4" x14ac:dyDescent="0.55000000000000004">
      <c r="A55" s="154"/>
      <c r="B55" s="154"/>
      <c r="C55" s="154"/>
      <c r="D55" s="154"/>
    </row>
    <row r="56" spans="1:4" x14ac:dyDescent="0.55000000000000004">
      <c r="A56" s="154"/>
      <c r="B56" s="154"/>
      <c r="C56" s="154"/>
      <c r="D56" s="154"/>
    </row>
  </sheetData>
  <mergeCells count="4">
    <mergeCell ref="A5:D5"/>
    <mergeCell ref="H5:J5"/>
    <mergeCell ref="A2:D2"/>
    <mergeCell ref="A1:D1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D92D5-F704-4BCB-9C07-2BB1AE973A00}">
  <sheetPr>
    <tabColor theme="0" tint="-0.249977111117893"/>
  </sheetPr>
  <dimension ref="A1:O56"/>
  <sheetViews>
    <sheetView workbookViewId="0">
      <selection sqref="A1:D1"/>
    </sheetView>
  </sheetViews>
  <sheetFormatPr defaultRowHeight="14.4" x14ac:dyDescent="0.55000000000000004"/>
  <cols>
    <col min="1" max="1" width="12.41796875" customWidth="1"/>
    <col min="2" max="2" width="16" customWidth="1"/>
    <col min="3" max="3" width="15.26171875" customWidth="1"/>
    <col min="4" max="4" width="17.41796875" customWidth="1"/>
    <col min="12" max="12" width="28.578125" customWidth="1"/>
  </cols>
  <sheetData>
    <row r="1" spans="1:15" ht="14.7" thickBot="1" x14ac:dyDescent="0.6">
      <c r="A1" s="925" t="s">
        <v>280</v>
      </c>
      <c r="B1" s="925"/>
      <c r="C1" s="925"/>
      <c r="D1" s="925"/>
    </row>
    <row r="2" spans="1:15" ht="14.7" thickBot="1" x14ac:dyDescent="0.6">
      <c r="A2" s="926" t="s">
        <v>173</v>
      </c>
      <c r="B2" s="927"/>
      <c r="C2" s="927"/>
      <c r="D2" s="928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x14ac:dyDescent="0.55000000000000004">
      <c r="A3" s="363" t="s">
        <v>169</v>
      </c>
      <c r="B3" s="364"/>
      <c r="C3" s="312"/>
      <c r="D3" s="156">
        <v>0.02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ht="14.7" thickBot="1" x14ac:dyDescent="0.6">
      <c r="A4" s="313" t="s">
        <v>278</v>
      </c>
      <c r="B4" s="314"/>
      <c r="C4" s="315"/>
      <c r="D4" s="765">
        <f>'TRIP GENERATION'!E88</f>
        <v>9.4597999999999995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14.7" thickTop="1" x14ac:dyDescent="0.55000000000000004">
      <c r="A5" s="923"/>
      <c r="B5" s="923"/>
      <c r="C5" s="923"/>
      <c r="D5" s="924"/>
      <c r="E5" s="19"/>
      <c r="F5" s="19"/>
      <c r="G5" s="19"/>
      <c r="H5" s="916"/>
      <c r="I5" s="916"/>
      <c r="J5" s="916"/>
      <c r="K5" s="19"/>
      <c r="L5" s="19"/>
      <c r="M5" s="19"/>
      <c r="N5" s="19"/>
      <c r="O5" s="19"/>
    </row>
    <row r="6" spans="1:15" ht="43.2" x14ac:dyDescent="0.55000000000000004">
      <c r="A6" s="45" t="s">
        <v>170</v>
      </c>
      <c r="B6" s="45" t="s">
        <v>175</v>
      </c>
      <c r="C6" s="36" t="s">
        <v>279</v>
      </c>
      <c r="D6" s="161" t="s">
        <v>93</v>
      </c>
      <c r="E6" s="19"/>
      <c r="F6" s="19"/>
      <c r="G6" s="19"/>
      <c r="H6" s="37"/>
      <c r="I6" s="37"/>
      <c r="J6" s="37"/>
      <c r="K6" s="19"/>
      <c r="L6" s="19"/>
      <c r="M6" s="19"/>
      <c r="N6" s="19"/>
      <c r="O6" s="19"/>
    </row>
    <row r="7" spans="1:15" x14ac:dyDescent="0.55000000000000004">
      <c r="A7" s="155">
        <f>$D$4*2</f>
        <v>18.919599999999999</v>
      </c>
      <c r="B7" s="28">
        <f>A7*50*5*2</f>
        <v>9459.7999999999993</v>
      </c>
      <c r="C7" s="31">
        <v>12</v>
      </c>
      <c r="D7" s="163">
        <f>B7*C7</f>
        <v>113517.59999999999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x14ac:dyDescent="0.55000000000000004">
      <c r="A8" s="155">
        <f t="shared" ref="A8:A26" si="0">A7*(1+$D$3)</f>
        <v>19.297992000000001</v>
      </c>
      <c r="B8" s="28">
        <f t="shared" ref="B8:B26" si="1">A8*50*5*2</f>
        <v>9648.996000000001</v>
      </c>
      <c r="C8" s="31">
        <v>12</v>
      </c>
      <c r="D8" s="163">
        <f t="shared" ref="D8:D26" si="2">B8*C8</f>
        <v>115787.95200000002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x14ac:dyDescent="0.55000000000000004">
      <c r="A9" s="155">
        <f t="shared" si="0"/>
        <v>19.683951840000002</v>
      </c>
      <c r="B9" s="28">
        <f t="shared" si="1"/>
        <v>9841.9759200000008</v>
      </c>
      <c r="C9" s="31">
        <v>12</v>
      </c>
      <c r="D9" s="163">
        <f t="shared" si="2"/>
        <v>118103.71104000001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x14ac:dyDescent="0.55000000000000004">
      <c r="A10" s="155">
        <f t="shared" si="0"/>
        <v>20.077630876800004</v>
      </c>
      <c r="B10" s="28">
        <f t="shared" si="1"/>
        <v>10038.815438400001</v>
      </c>
      <c r="C10" s="31">
        <v>12</v>
      </c>
      <c r="D10" s="163">
        <f t="shared" si="2"/>
        <v>120465.78526080001</v>
      </c>
      <c r="E10" s="42"/>
      <c r="F10" s="42"/>
      <c r="G10" s="42"/>
      <c r="H10" s="42"/>
      <c r="I10" s="42"/>
      <c r="J10" s="19"/>
      <c r="K10" s="19"/>
      <c r="L10" s="19"/>
      <c r="M10" s="19"/>
      <c r="N10" s="19"/>
      <c r="O10" s="19"/>
    </row>
    <row r="11" spans="1:15" x14ac:dyDescent="0.55000000000000004">
      <c r="A11" s="155">
        <f t="shared" si="0"/>
        <v>20.479183494336006</v>
      </c>
      <c r="B11" s="28">
        <f t="shared" si="1"/>
        <v>10239.591747168002</v>
      </c>
      <c r="C11" s="31">
        <v>12</v>
      </c>
      <c r="D11" s="163">
        <f t="shared" si="2"/>
        <v>122875.10096601603</v>
      </c>
      <c r="E11" s="41"/>
      <c r="F11" s="41"/>
      <c r="G11" s="41"/>
      <c r="H11" s="41"/>
      <c r="I11" s="41"/>
      <c r="J11" s="19"/>
      <c r="K11" s="19"/>
      <c r="L11" s="19"/>
      <c r="M11" s="19"/>
      <c r="N11" s="19"/>
      <c r="O11" s="19"/>
    </row>
    <row r="12" spans="1:15" x14ac:dyDescent="0.55000000000000004">
      <c r="A12" s="155">
        <f t="shared" si="0"/>
        <v>20.888767164222728</v>
      </c>
      <c r="B12" s="28">
        <f t="shared" si="1"/>
        <v>10444.383582111364</v>
      </c>
      <c r="C12" s="31">
        <v>12</v>
      </c>
      <c r="D12" s="163">
        <f t="shared" si="2"/>
        <v>125332.60298533637</v>
      </c>
      <c r="E12" s="41"/>
      <c r="F12" s="37"/>
      <c r="G12" s="37"/>
      <c r="H12" s="37"/>
      <c r="I12" s="37"/>
      <c r="J12" s="19"/>
      <c r="K12" s="19"/>
      <c r="L12" s="19"/>
      <c r="M12" s="19"/>
      <c r="N12" s="19"/>
      <c r="O12" s="19"/>
    </row>
    <row r="13" spans="1:15" x14ac:dyDescent="0.55000000000000004">
      <c r="A13" s="155">
        <f t="shared" si="0"/>
        <v>21.306542507507181</v>
      </c>
      <c r="B13" s="28">
        <f t="shared" si="1"/>
        <v>10653.271253753592</v>
      </c>
      <c r="C13" s="31">
        <v>12</v>
      </c>
      <c r="D13" s="163">
        <f t="shared" si="2"/>
        <v>127839.2550450431</v>
      </c>
      <c r="E13" s="38"/>
      <c r="F13" s="39"/>
      <c r="G13" s="39"/>
      <c r="H13" s="39"/>
      <c r="I13" s="39"/>
      <c r="J13" s="44"/>
      <c r="K13" s="44"/>
      <c r="L13" s="44"/>
      <c r="M13" s="44"/>
      <c r="N13" s="44"/>
      <c r="O13" s="44"/>
    </row>
    <row r="14" spans="1:15" ht="14.5" customHeight="1" x14ac:dyDescent="0.55000000000000004">
      <c r="A14" s="155">
        <f t="shared" si="0"/>
        <v>21.732673357657326</v>
      </c>
      <c r="B14" s="28">
        <f t="shared" si="1"/>
        <v>10866.336678828664</v>
      </c>
      <c r="C14" s="31">
        <v>12</v>
      </c>
      <c r="D14" s="163">
        <f t="shared" si="2"/>
        <v>130396.04014594396</v>
      </c>
      <c r="E14" s="40"/>
      <c r="F14" s="39"/>
      <c r="G14" s="39"/>
      <c r="H14" s="39"/>
      <c r="I14" s="39"/>
      <c r="J14" s="43"/>
      <c r="K14" s="43"/>
      <c r="L14" s="43"/>
      <c r="M14" s="43"/>
      <c r="N14" s="43"/>
      <c r="O14" s="43"/>
    </row>
    <row r="15" spans="1:15" x14ac:dyDescent="0.55000000000000004">
      <c r="A15" s="155">
        <f t="shared" si="0"/>
        <v>22.167326824810473</v>
      </c>
      <c r="B15" s="28">
        <f t="shared" si="1"/>
        <v>11083.663412405238</v>
      </c>
      <c r="C15" s="31">
        <v>12</v>
      </c>
      <c r="D15" s="163">
        <f t="shared" si="2"/>
        <v>133003.96094886286</v>
      </c>
      <c r="E15" s="40"/>
      <c r="F15" s="39"/>
      <c r="G15" s="39"/>
      <c r="H15" s="39"/>
      <c r="I15" s="39"/>
      <c r="J15" s="43"/>
      <c r="K15" s="43"/>
      <c r="L15" s="43"/>
      <c r="M15" s="43"/>
      <c r="N15" s="43"/>
      <c r="O15" s="43"/>
    </row>
    <row r="16" spans="1:15" x14ac:dyDescent="0.55000000000000004">
      <c r="A16" s="155">
        <f t="shared" si="0"/>
        <v>22.610673361306684</v>
      </c>
      <c r="B16" s="28">
        <f t="shared" si="1"/>
        <v>11305.336680653343</v>
      </c>
      <c r="C16" s="31">
        <v>12</v>
      </c>
      <c r="D16" s="163">
        <f t="shared" si="2"/>
        <v>135664.04016784011</v>
      </c>
      <c r="E16" s="40"/>
      <c r="F16" s="39"/>
      <c r="G16" s="39"/>
      <c r="H16" s="39"/>
      <c r="I16" s="39"/>
      <c r="J16" s="43"/>
      <c r="K16" s="43"/>
      <c r="L16" s="43"/>
      <c r="M16" s="43"/>
      <c r="N16" s="43"/>
      <c r="O16" s="43"/>
    </row>
    <row r="17" spans="1:15" x14ac:dyDescent="0.55000000000000004">
      <c r="A17" s="155">
        <f t="shared" si="0"/>
        <v>23.062886828532818</v>
      </c>
      <c r="B17" s="28">
        <f t="shared" si="1"/>
        <v>11531.44341426641</v>
      </c>
      <c r="C17" s="31">
        <v>12</v>
      </c>
      <c r="D17" s="163">
        <f t="shared" si="2"/>
        <v>138377.32097119692</v>
      </c>
      <c r="E17" s="40"/>
      <c r="F17" s="39"/>
      <c r="G17" s="39"/>
      <c r="H17" s="39"/>
      <c r="I17" s="39"/>
      <c r="J17" s="43"/>
      <c r="K17" s="43"/>
      <c r="L17" s="43"/>
      <c r="M17" s="43"/>
      <c r="N17" s="43"/>
      <c r="O17" s="43"/>
    </row>
    <row r="18" spans="1:15" x14ac:dyDescent="0.55000000000000004">
      <c r="A18" s="155">
        <f t="shared" si="0"/>
        <v>23.524144565103477</v>
      </c>
      <c r="B18" s="28">
        <f t="shared" si="1"/>
        <v>11762.072282551737</v>
      </c>
      <c r="C18" s="31">
        <v>12</v>
      </c>
      <c r="D18" s="163">
        <f t="shared" si="2"/>
        <v>141144.86739062084</v>
      </c>
      <c r="E18" s="40"/>
      <c r="F18" s="39"/>
      <c r="G18" s="39"/>
      <c r="H18" s="39"/>
      <c r="I18" s="39"/>
      <c r="J18" s="43"/>
      <c r="K18" s="43"/>
      <c r="L18" s="43"/>
      <c r="M18" s="43"/>
      <c r="N18" s="43"/>
      <c r="O18" s="43"/>
    </row>
    <row r="19" spans="1:15" x14ac:dyDescent="0.55000000000000004">
      <c r="A19" s="155">
        <f t="shared" si="0"/>
        <v>23.994627456405546</v>
      </c>
      <c r="B19" s="28">
        <f t="shared" si="1"/>
        <v>11997.313728202773</v>
      </c>
      <c r="C19" s="31">
        <v>12</v>
      </c>
      <c r="D19" s="163">
        <f t="shared" si="2"/>
        <v>143967.76473843327</v>
      </c>
      <c r="E19" s="40"/>
      <c r="F19" s="39"/>
      <c r="G19" s="39"/>
      <c r="H19" s="39"/>
      <c r="I19" s="39"/>
      <c r="J19" s="43"/>
      <c r="K19" s="43"/>
      <c r="L19" s="43"/>
      <c r="M19" s="43"/>
      <c r="N19" s="43"/>
      <c r="O19" s="43"/>
    </row>
    <row r="20" spans="1:15" x14ac:dyDescent="0.55000000000000004">
      <c r="A20" s="155">
        <f t="shared" si="0"/>
        <v>24.474520005533655</v>
      </c>
      <c r="B20" s="28">
        <f t="shared" si="1"/>
        <v>12237.260002766827</v>
      </c>
      <c r="C20" s="31">
        <v>12</v>
      </c>
      <c r="D20" s="163">
        <f t="shared" si="2"/>
        <v>146847.12003320194</v>
      </c>
      <c r="E20" s="40"/>
      <c r="F20" s="39"/>
      <c r="G20" s="39"/>
      <c r="H20" s="39"/>
      <c r="I20" s="39"/>
      <c r="J20" s="43"/>
      <c r="K20" s="43"/>
      <c r="L20" s="43"/>
      <c r="M20" s="43"/>
      <c r="N20" s="43"/>
      <c r="O20" s="43"/>
    </row>
    <row r="21" spans="1:15" x14ac:dyDescent="0.55000000000000004">
      <c r="A21" s="155">
        <f t="shared" si="0"/>
        <v>24.964010405644331</v>
      </c>
      <c r="B21" s="28">
        <f t="shared" si="1"/>
        <v>12482.005202822165</v>
      </c>
      <c r="C21" s="31">
        <v>12</v>
      </c>
      <c r="D21" s="163">
        <f t="shared" si="2"/>
        <v>149784.06243386597</v>
      </c>
      <c r="E21" s="40"/>
      <c r="F21" s="39"/>
      <c r="G21" s="39"/>
      <c r="H21" s="39"/>
      <c r="I21" s="39"/>
      <c r="J21" s="43"/>
      <c r="K21" s="43"/>
      <c r="L21" s="43"/>
      <c r="M21" s="43"/>
      <c r="N21" s="43"/>
      <c r="O21" s="43"/>
    </row>
    <row r="22" spans="1:15" x14ac:dyDescent="0.55000000000000004">
      <c r="A22" s="155">
        <f t="shared" si="0"/>
        <v>25.463290613757216</v>
      </c>
      <c r="B22" s="28">
        <f t="shared" si="1"/>
        <v>12731.645306878609</v>
      </c>
      <c r="C22" s="31">
        <v>12</v>
      </c>
      <c r="D22" s="163">
        <f t="shared" si="2"/>
        <v>152779.74368254331</v>
      </c>
      <c r="E22" s="40"/>
      <c r="F22" s="39"/>
      <c r="G22" s="39"/>
      <c r="H22" s="39"/>
      <c r="I22" s="39"/>
      <c r="J22" s="43"/>
      <c r="K22" s="43"/>
      <c r="L22" s="43"/>
      <c r="M22" s="43"/>
      <c r="N22" s="43"/>
      <c r="O22" s="43"/>
    </row>
    <row r="23" spans="1:15" x14ac:dyDescent="0.55000000000000004">
      <c r="A23" s="155">
        <f t="shared" si="0"/>
        <v>25.972556426032362</v>
      </c>
      <c r="B23" s="28">
        <f t="shared" si="1"/>
        <v>12986.27821301618</v>
      </c>
      <c r="C23" s="31">
        <v>12</v>
      </c>
      <c r="D23" s="163">
        <f t="shared" si="2"/>
        <v>155835.33855619415</v>
      </c>
      <c r="E23" s="40"/>
      <c r="F23" s="39"/>
      <c r="G23" s="39"/>
      <c r="H23" s="39"/>
      <c r="I23" s="39"/>
      <c r="J23" s="43"/>
      <c r="K23" s="43"/>
      <c r="L23" s="43"/>
      <c r="M23" s="43"/>
      <c r="N23" s="43"/>
      <c r="O23" s="43"/>
    </row>
    <row r="24" spans="1:15" x14ac:dyDescent="0.55000000000000004">
      <c r="A24" s="155">
        <f t="shared" si="0"/>
        <v>26.492007554553009</v>
      </c>
      <c r="B24" s="28">
        <f t="shared" si="1"/>
        <v>13246.003777276506</v>
      </c>
      <c r="C24" s="31">
        <v>12</v>
      </c>
      <c r="D24" s="163">
        <f t="shared" si="2"/>
        <v>158952.04532731808</v>
      </c>
      <c r="E24" s="40"/>
      <c r="F24" s="39"/>
      <c r="G24" s="39"/>
      <c r="H24" s="39"/>
      <c r="I24" s="39"/>
      <c r="J24" s="43"/>
      <c r="K24" s="43"/>
      <c r="L24" s="43"/>
      <c r="M24" s="43"/>
      <c r="N24" s="43"/>
      <c r="O24" s="43"/>
    </row>
    <row r="25" spans="1:15" x14ac:dyDescent="0.55000000000000004">
      <c r="A25" s="155">
        <f t="shared" si="0"/>
        <v>27.02184770564407</v>
      </c>
      <c r="B25" s="28">
        <f t="shared" si="1"/>
        <v>13510.923852822036</v>
      </c>
      <c r="C25" s="31">
        <v>12</v>
      </c>
      <c r="D25" s="163">
        <f t="shared" si="2"/>
        <v>162131.08623386442</v>
      </c>
      <c r="E25" s="40"/>
      <c r="F25" s="39"/>
      <c r="G25" s="39"/>
      <c r="H25" s="39"/>
      <c r="I25" s="39"/>
      <c r="J25" s="43"/>
      <c r="K25" s="43"/>
      <c r="L25" s="43"/>
      <c r="M25" s="43"/>
      <c r="N25" s="43"/>
      <c r="O25" s="43"/>
    </row>
    <row r="26" spans="1:15" ht="14.7" thickBot="1" x14ac:dyDescent="0.6">
      <c r="A26" s="166">
        <f t="shared" si="0"/>
        <v>27.562284659756951</v>
      </c>
      <c r="B26" s="167">
        <f t="shared" si="1"/>
        <v>13781.142329878476</v>
      </c>
      <c r="C26" s="170">
        <v>12</v>
      </c>
      <c r="D26" s="171">
        <f t="shared" si="2"/>
        <v>165373.70795854169</v>
      </c>
      <c r="E26" s="40"/>
      <c r="F26" s="39"/>
      <c r="G26" s="39"/>
      <c r="H26" s="39"/>
      <c r="I26" s="39"/>
      <c r="J26" s="43"/>
      <c r="K26" s="43"/>
      <c r="L26" s="43"/>
      <c r="M26" s="43"/>
      <c r="N26" s="43"/>
      <c r="O26" s="43"/>
    </row>
    <row r="27" spans="1:15" ht="16.2" thickTop="1" thickBot="1" x14ac:dyDescent="0.65">
      <c r="A27" s="173"/>
      <c r="B27" s="174"/>
      <c r="C27" s="174"/>
      <c r="D27" s="764">
        <f>SUM(D7:D26)</f>
        <v>2758179.1058856235</v>
      </c>
      <c r="E27" s="40"/>
      <c r="F27" s="39"/>
      <c r="G27" s="39"/>
      <c r="H27" s="39"/>
      <c r="I27" s="39"/>
      <c r="J27" s="43"/>
      <c r="K27" s="43"/>
      <c r="L27" s="43"/>
      <c r="M27" s="43"/>
      <c r="N27" s="43"/>
      <c r="O27" s="43"/>
    </row>
    <row r="28" spans="1:15" ht="14.7" thickTop="1" x14ac:dyDescent="0.55000000000000004">
      <c r="A28" s="10" t="s">
        <v>277</v>
      </c>
      <c r="E28" s="40"/>
      <c r="F28" s="39"/>
      <c r="G28" s="39"/>
      <c r="H28" s="39"/>
      <c r="I28" s="39"/>
      <c r="J28" s="43"/>
      <c r="K28" s="43"/>
      <c r="L28" s="43"/>
      <c r="M28" s="43"/>
      <c r="N28" s="43"/>
      <c r="O28" s="43"/>
    </row>
    <row r="29" spans="1:15" x14ac:dyDescent="0.55000000000000004">
      <c r="A29" s="316" t="s">
        <v>282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1:15" x14ac:dyDescent="0.55000000000000004">
      <c r="A30" s="317" t="s">
        <v>281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1:15" x14ac:dyDescent="0.55000000000000004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1:15" x14ac:dyDescent="0.55000000000000004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1:15" x14ac:dyDescent="0.55000000000000004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1:15" x14ac:dyDescent="0.55000000000000004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1:15" x14ac:dyDescent="0.55000000000000004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x14ac:dyDescent="0.55000000000000004">
      <c r="A36" s="153"/>
      <c r="B36" s="153"/>
      <c r="C36" s="153"/>
      <c r="D36" s="153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15" x14ac:dyDescent="0.55000000000000004">
      <c r="A37" s="153"/>
      <c r="B37" s="153"/>
      <c r="C37" s="153"/>
      <c r="D37" s="153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15" x14ac:dyDescent="0.55000000000000004">
      <c r="A38" s="153"/>
      <c r="B38" s="153"/>
      <c r="C38" s="153"/>
      <c r="D38" s="153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15" x14ac:dyDescent="0.55000000000000004">
      <c r="A39" s="153"/>
      <c r="B39" s="153"/>
      <c r="C39" s="153"/>
      <c r="D39" s="153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  <row r="40" spans="1:15" x14ac:dyDescent="0.55000000000000004">
      <c r="A40" s="153"/>
      <c r="B40" s="153"/>
      <c r="C40" s="153"/>
      <c r="D40" s="153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</row>
    <row r="41" spans="1:15" x14ac:dyDescent="0.55000000000000004">
      <c r="A41" s="154"/>
      <c r="B41" s="154"/>
      <c r="C41" s="154"/>
      <c r="D41" s="154"/>
    </row>
    <row r="42" spans="1:15" x14ac:dyDescent="0.55000000000000004">
      <c r="A42" s="154"/>
      <c r="B42" s="154"/>
      <c r="C42" s="154"/>
      <c r="D42" s="154"/>
    </row>
    <row r="43" spans="1:15" x14ac:dyDescent="0.55000000000000004">
      <c r="A43" s="154"/>
      <c r="B43" s="154"/>
      <c r="C43" s="154"/>
      <c r="D43" s="154"/>
    </row>
    <row r="44" spans="1:15" x14ac:dyDescent="0.55000000000000004">
      <c r="A44" s="154"/>
      <c r="B44" s="154"/>
      <c r="C44" s="154"/>
      <c r="D44" s="154"/>
    </row>
    <row r="45" spans="1:15" x14ac:dyDescent="0.55000000000000004">
      <c r="A45" s="154"/>
      <c r="B45" s="154"/>
      <c r="C45" s="154"/>
      <c r="D45" s="154"/>
    </row>
    <row r="46" spans="1:15" x14ac:dyDescent="0.55000000000000004">
      <c r="A46" s="154"/>
      <c r="B46" s="154"/>
      <c r="C46" s="154"/>
      <c r="D46" s="154"/>
    </row>
    <row r="47" spans="1:15" x14ac:dyDescent="0.55000000000000004">
      <c r="A47" s="154"/>
      <c r="B47" s="154"/>
      <c r="C47" s="154"/>
      <c r="D47" s="154"/>
    </row>
    <row r="48" spans="1:15" x14ac:dyDescent="0.55000000000000004">
      <c r="A48" s="154"/>
      <c r="B48" s="154"/>
      <c r="C48" s="154"/>
      <c r="D48" s="154"/>
    </row>
    <row r="49" spans="1:4" x14ac:dyDescent="0.55000000000000004">
      <c r="A49" s="154"/>
      <c r="B49" s="154"/>
      <c r="C49" s="154"/>
      <c r="D49" s="154"/>
    </row>
    <row r="50" spans="1:4" x14ac:dyDescent="0.55000000000000004">
      <c r="A50" s="154"/>
      <c r="B50" s="154"/>
      <c r="C50" s="154"/>
      <c r="D50" s="154"/>
    </row>
    <row r="51" spans="1:4" x14ac:dyDescent="0.55000000000000004">
      <c r="A51" s="154"/>
      <c r="B51" s="154"/>
      <c r="C51" s="154"/>
      <c r="D51" s="154"/>
    </row>
    <row r="52" spans="1:4" x14ac:dyDescent="0.55000000000000004">
      <c r="A52" s="154"/>
      <c r="B52" s="154"/>
      <c r="C52" s="154"/>
      <c r="D52" s="154"/>
    </row>
    <row r="53" spans="1:4" x14ac:dyDescent="0.55000000000000004">
      <c r="A53" s="154"/>
      <c r="B53" s="154"/>
      <c r="C53" s="154"/>
      <c r="D53" s="154"/>
    </row>
    <row r="54" spans="1:4" x14ac:dyDescent="0.55000000000000004">
      <c r="A54" s="154"/>
      <c r="B54" s="154"/>
      <c r="C54" s="154"/>
      <c r="D54" s="154"/>
    </row>
    <row r="55" spans="1:4" x14ac:dyDescent="0.55000000000000004">
      <c r="A55" s="154"/>
      <c r="B55" s="154"/>
      <c r="C55" s="154"/>
      <c r="D55" s="154"/>
    </row>
    <row r="56" spans="1:4" x14ac:dyDescent="0.55000000000000004">
      <c r="A56" s="154"/>
      <c r="B56" s="154"/>
      <c r="C56" s="154"/>
      <c r="D56" s="154"/>
    </row>
  </sheetData>
  <mergeCells count="4">
    <mergeCell ref="A1:D1"/>
    <mergeCell ref="A2:D2"/>
    <mergeCell ref="A5:D5"/>
    <mergeCell ref="H5:J5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A5AAD-F63E-4E91-A57C-C7E151A08C00}">
  <sheetPr>
    <tabColor theme="0" tint="-0.249977111117893"/>
  </sheetPr>
  <dimension ref="A1:W55"/>
  <sheetViews>
    <sheetView workbookViewId="0"/>
  </sheetViews>
  <sheetFormatPr defaultRowHeight="14.4" x14ac:dyDescent="0.55000000000000004"/>
  <cols>
    <col min="1" max="1" width="10.41796875" bestFit="1" customWidth="1"/>
    <col min="3" max="3" width="12.41796875" customWidth="1"/>
    <col min="4" max="4" width="16.26171875" customWidth="1"/>
    <col min="5" max="5" width="12.41796875" customWidth="1"/>
    <col min="6" max="6" width="19" customWidth="1"/>
    <col min="7" max="7" width="16.41796875" customWidth="1"/>
    <col min="8" max="8" width="13.578125" customWidth="1"/>
    <col min="9" max="9" width="12.41796875" customWidth="1"/>
    <col min="10" max="10" width="16" customWidth="1"/>
    <col min="11" max="11" width="15.26171875" customWidth="1"/>
    <col min="12" max="12" width="17.41796875" customWidth="1"/>
    <col min="14" max="14" width="10.15625" bestFit="1" customWidth="1"/>
    <col min="20" max="20" width="28.578125" customWidth="1"/>
  </cols>
  <sheetData>
    <row r="1" spans="3:23" ht="14.7" thickBot="1" x14ac:dyDescent="0.6">
      <c r="C1" s="933" t="s">
        <v>172</v>
      </c>
      <c r="D1" s="934"/>
      <c r="E1" s="935"/>
      <c r="J1" s="933" t="s">
        <v>173</v>
      </c>
      <c r="K1" s="934"/>
      <c r="L1" s="935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3:23" x14ac:dyDescent="0.55000000000000004">
      <c r="C2" s="929" t="s">
        <v>167</v>
      </c>
      <c r="D2" s="930"/>
      <c r="E2" s="156">
        <v>0.02</v>
      </c>
      <c r="J2" s="931" t="s">
        <v>169</v>
      </c>
      <c r="K2" s="932"/>
      <c r="L2" s="156">
        <v>0.02</v>
      </c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3:23" ht="14.7" thickBot="1" x14ac:dyDescent="0.6">
      <c r="C3" s="157" t="s">
        <v>168</v>
      </c>
      <c r="D3" s="158"/>
      <c r="E3" s="759">
        <f>'TRIP GENERATION'!C25</f>
        <v>1999</v>
      </c>
      <c r="J3" s="157" t="s">
        <v>170</v>
      </c>
      <c r="K3" s="159"/>
      <c r="L3" s="761">
        <f>'TRIP GENERATION'!D25</f>
        <v>652.46208989074989</v>
      </c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3:23" ht="15" thickTop="1" thickBot="1" x14ac:dyDescent="0.6">
      <c r="C4" s="922" t="s">
        <v>166</v>
      </c>
      <c r="D4" s="923"/>
      <c r="E4" s="923"/>
      <c r="F4" s="923"/>
      <c r="G4" s="923"/>
      <c r="H4" s="923"/>
      <c r="I4" s="923"/>
      <c r="J4" s="923"/>
      <c r="K4" s="923"/>
      <c r="L4" s="924"/>
      <c r="M4" s="19"/>
      <c r="N4" s="19"/>
      <c r="O4" s="19"/>
      <c r="P4" s="916"/>
      <c r="Q4" s="916"/>
      <c r="R4" s="916"/>
      <c r="S4" s="19"/>
      <c r="T4" s="19"/>
      <c r="U4" s="19"/>
      <c r="V4" s="19"/>
      <c r="W4" s="19"/>
    </row>
    <row r="5" spans="3:23" ht="58.2" thickTop="1" thickBot="1" x14ac:dyDescent="0.6">
      <c r="C5" s="160" t="s">
        <v>4</v>
      </c>
      <c r="D5" s="32" t="s">
        <v>2</v>
      </c>
      <c r="E5" s="46" t="s">
        <v>171</v>
      </c>
      <c r="F5" s="46" t="s">
        <v>174</v>
      </c>
      <c r="G5" s="46" t="s">
        <v>90</v>
      </c>
      <c r="H5" s="46" t="s">
        <v>92</v>
      </c>
      <c r="I5" s="45" t="s">
        <v>170</v>
      </c>
      <c r="J5" s="45" t="s">
        <v>175</v>
      </c>
      <c r="K5" s="36" t="s">
        <v>91</v>
      </c>
      <c r="L5" s="161" t="s">
        <v>93</v>
      </c>
      <c r="M5" s="19"/>
      <c r="N5" s="531" t="s">
        <v>176</v>
      </c>
      <c r="O5" s="19"/>
      <c r="P5" s="37"/>
      <c r="Q5" s="37"/>
      <c r="R5" s="37"/>
      <c r="S5" s="19"/>
      <c r="T5" s="19"/>
      <c r="U5" s="19"/>
      <c r="V5" s="19"/>
      <c r="W5" s="19"/>
    </row>
    <row r="6" spans="3:23" ht="15" thickTop="1" thickBot="1" x14ac:dyDescent="0.6">
      <c r="C6" s="162">
        <v>1</v>
      </c>
      <c r="D6" s="27">
        <v>2027</v>
      </c>
      <c r="E6" s="155">
        <f>E3</f>
        <v>1999</v>
      </c>
      <c r="F6" s="28">
        <f>E6*365</f>
        <v>729635</v>
      </c>
      <c r="G6" s="33">
        <v>0.86</v>
      </c>
      <c r="H6" s="35">
        <f>F6*G6</f>
        <v>627486.1</v>
      </c>
      <c r="I6" s="155">
        <f>$L$3</f>
        <v>652.46208989074989</v>
      </c>
      <c r="J6" s="28">
        <f>I6*365</f>
        <v>238148.6628101237</v>
      </c>
      <c r="K6" s="31">
        <v>2.38</v>
      </c>
      <c r="L6" s="163">
        <f>J6*K6*1.42</f>
        <v>804847.22083309386</v>
      </c>
      <c r="M6" s="19"/>
      <c r="N6" s="534">
        <f>H6+L6</f>
        <v>1432333.320833094</v>
      </c>
      <c r="O6" s="19"/>
      <c r="P6" s="19"/>
      <c r="Q6" s="19"/>
      <c r="R6" s="19"/>
      <c r="S6" s="19"/>
      <c r="T6" s="19"/>
      <c r="U6" s="19"/>
      <c r="V6" s="19"/>
      <c r="W6" s="19"/>
    </row>
    <row r="7" spans="3:23" ht="14.7" thickTop="1" x14ac:dyDescent="0.55000000000000004">
      <c r="C7" s="162">
        <v>2</v>
      </c>
      <c r="D7" s="27">
        <v>2028</v>
      </c>
      <c r="E7" s="155">
        <f>E6*(1+$E$2)</f>
        <v>2038.98</v>
      </c>
      <c r="F7" s="28">
        <f>F6*(1+$E$2)</f>
        <v>744227.70000000007</v>
      </c>
      <c r="G7" s="33">
        <v>0.86</v>
      </c>
      <c r="H7" s="35">
        <f t="shared" ref="H7:H25" si="0">F7*G7</f>
        <v>640035.82200000004</v>
      </c>
      <c r="I7" s="155">
        <f>I6*(1+$L$2)</f>
        <v>665.51133168856495</v>
      </c>
      <c r="J7" s="28">
        <f t="shared" ref="J7:J25" si="1">I7*365</f>
        <v>242911.6360663262</v>
      </c>
      <c r="K7" s="31">
        <v>2.38</v>
      </c>
      <c r="L7" s="163">
        <f t="shared" ref="L7:L25" si="2">J7*K7*1.42</f>
        <v>820944.16524975584</v>
      </c>
      <c r="M7" s="19"/>
      <c r="N7" s="532"/>
      <c r="O7" s="19"/>
      <c r="P7" s="19"/>
      <c r="Q7" s="19"/>
      <c r="R7" s="19"/>
      <c r="S7" s="19"/>
      <c r="T7" s="19"/>
      <c r="U7" s="19"/>
      <c r="V7" s="19"/>
      <c r="W7" s="19"/>
    </row>
    <row r="8" spans="3:23" x14ac:dyDescent="0.55000000000000004">
      <c r="C8" s="162">
        <v>3</v>
      </c>
      <c r="D8" s="27">
        <v>2029</v>
      </c>
      <c r="E8" s="155">
        <f t="shared" ref="E8:E25" si="3">E7*(1+$E$2)</f>
        <v>2079.7595999999999</v>
      </c>
      <c r="F8" s="28">
        <f t="shared" ref="F8:F25" si="4">F7*(1+$E$2)</f>
        <v>759112.25400000007</v>
      </c>
      <c r="G8" s="33">
        <v>0.86</v>
      </c>
      <c r="H8" s="35">
        <f t="shared" si="0"/>
        <v>652836.53844000003</v>
      </c>
      <c r="I8" s="155">
        <f t="shared" ref="I8:I25" si="5">I7*(1+$L$2)</f>
        <v>678.82155832233627</v>
      </c>
      <c r="J8" s="28">
        <f t="shared" si="1"/>
        <v>247769.86878765273</v>
      </c>
      <c r="K8" s="31">
        <v>2.38</v>
      </c>
      <c r="L8" s="163">
        <f t="shared" si="2"/>
        <v>837363.04855475109</v>
      </c>
      <c r="M8" s="19"/>
      <c r="N8" s="532"/>
      <c r="O8" s="19"/>
      <c r="P8" s="19"/>
      <c r="Q8" s="19"/>
      <c r="R8" s="19"/>
      <c r="S8" s="19"/>
      <c r="T8" s="19"/>
      <c r="U8" s="19"/>
      <c r="V8" s="19"/>
      <c r="W8" s="19"/>
    </row>
    <row r="9" spans="3:23" x14ac:dyDescent="0.55000000000000004">
      <c r="C9" s="162">
        <v>4</v>
      </c>
      <c r="D9" s="27">
        <v>2030</v>
      </c>
      <c r="E9" s="155">
        <f t="shared" si="3"/>
        <v>2121.3547920000001</v>
      </c>
      <c r="F9" s="28">
        <f t="shared" si="4"/>
        <v>774294.4990800001</v>
      </c>
      <c r="G9" s="33">
        <v>0.86</v>
      </c>
      <c r="H9" s="35">
        <f t="shared" si="0"/>
        <v>665893.26920880005</v>
      </c>
      <c r="I9" s="155">
        <f t="shared" si="5"/>
        <v>692.39798948878297</v>
      </c>
      <c r="J9" s="28">
        <f t="shared" si="1"/>
        <v>252725.26616340579</v>
      </c>
      <c r="K9" s="31">
        <v>2.38</v>
      </c>
      <c r="L9" s="163">
        <f t="shared" si="2"/>
        <v>854110.30952584604</v>
      </c>
      <c r="M9" s="42"/>
      <c r="N9" s="532"/>
      <c r="O9" s="42"/>
      <c r="P9" s="42"/>
      <c r="Q9" s="42"/>
      <c r="R9" s="19"/>
      <c r="S9" s="19"/>
      <c r="T9" s="19"/>
      <c r="U9" s="19"/>
      <c r="V9" s="19"/>
      <c r="W9" s="19"/>
    </row>
    <row r="10" spans="3:23" x14ac:dyDescent="0.55000000000000004">
      <c r="C10" s="162">
        <v>5</v>
      </c>
      <c r="D10" s="27">
        <v>2031</v>
      </c>
      <c r="E10" s="155">
        <f t="shared" si="3"/>
        <v>2163.7818878400003</v>
      </c>
      <c r="F10" s="28">
        <f t="shared" si="4"/>
        <v>789780.38906160009</v>
      </c>
      <c r="G10" s="33">
        <v>0.86</v>
      </c>
      <c r="H10" s="35">
        <f t="shared" si="0"/>
        <v>679211.13459297607</v>
      </c>
      <c r="I10" s="155">
        <f t="shared" si="5"/>
        <v>706.24594927855867</v>
      </c>
      <c r="J10" s="28">
        <f t="shared" si="1"/>
        <v>257779.77148667391</v>
      </c>
      <c r="K10" s="31">
        <v>2.38</v>
      </c>
      <c r="L10" s="163">
        <f t="shared" si="2"/>
        <v>871192.51571636298</v>
      </c>
      <c r="M10" s="41"/>
      <c r="N10" s="532"/>
      <c r="O10" s="41"/>
      <c r="P10" s="41"/>
      <c r="Q10" s="41"/>
      <c r="R10" s="19"/>
      <c r="S10" s="19"/>
      <c r="T10" s="19"/>
      <c r="U10" s="19"/>
      <c r="V10" s="19"/>
      <c r="W10" s="19"/>
    </row>
    <row r="11" spans="3:23" x14ac:dyDescent="0.55000000000000004">
      <c r="C11" s="162">
        <v>6</v>
      </c>
      <c r="D11" s="27">
        <v>2032</v>
      </c>
      <c r="E11" s="155">
        <f t="shared" si="3"/>
        <v>2207.0575255968001</v>
      </c>
      <c r="F11" s="28">
        <f t="shared" si="4"/>
        <v>805575.99684283207</v>
      </c>
      <c r="G11" s="33">
        <v>0.86</v>
      </c>
      <c r="H11" s="35">
        <f t="shared" si="0"/>
        <v>692795.35728483554</v>
      </c>
      <c r="I11" s="155">
        <f t="shared" si="5"/>
        <v>720.37086826412985</v>
      </c>
      <c r="J11" s="28">
        <f t="shared" si="1"/>
        <v>262935.36691640742</v>
      </c>
      <c r="K11" s="31">
        <v>2.38</v>
      </c>
      <c r="L11" s="163">
        <f t="shared" si="2"/>
        <v>888616.36603069049</v>
      </c>
      <c r="M11" s="41"/>
      <c r="N11" s="532"/>
      <c r="O11" s="37"/>
      <c r="P11" s="37"/>
      <c r="Q11" s="37"/>
      <c r="R11" s="19"/>
      <c r="S11" s="19"/>
      <c r="T11" s="19"/>
      <c r="U11" s="19"/>
      <c r="V11" s="19"/>
      <c r="W11" s="19"/>
    </row>
    <row r="12" spans="3:23" x14ac:dyDescent="0.55000000000000004">
      <c r="C12" s="162">
        <v>7</v>
      </c>
      <c r="D12" s="27">
        <v>2033</v>
      </c>
      <c r="E12" s="155">
        <f t="shared" si="3"/>
        <v>2251.198676108736</v>
      </c>
      <c r="F12" s="28">
        <f t="shared" si="4"/>
        <v>821687.51677968877</v>
      </c>
      <c r="G12" s="33">
        <v>0.86</v>
      </c>
      <c r="H12" s="35">
        <f t="shared" si="0"/>
        <v>706651.26443053235</v>
      </c>
      <c r="I12" s="155">
        <f t="shared" si="5"/>
        <v>734.77828562941249</v>
      </c>
      <c r="J12" s="28">
        <f t="shared" si="1"/>
        <v>268194.07425473555</v>
      </c>
      <c r="K12" s="31">
        <v>2.38</v>
      </c>
      <c r="L12" s="163">
        <f t="shared" si="2"/>
        <v>906388.69335130416</v>
      </c>
      <c r="M12" s="38"/>
      <c r="N12" s="533"/>
      <c r="O12" s="39"/>
      <c r="P12" s="39"/>
      <c r="Q12" s="39"/>
      <c r="R12" s="44"/>
      <c r="S12" s="44"/>
      <c r="T12" s="44"/>
      <c r="U12" s="44"/>
      <c r="V12" s="44"/>
      <c r="W12" s="44"/>
    </row>
    <row r="13" spans="3:23" ht="14.5" customHeight="1" x14ac:dyDescent="0.55000000000000004">
      <c r="C13" s="162">
        <v>8</v>
      </c>
      <c r="D13" s="27">
        <v>2034</v>
      </c>
      <c r="E13" s="155">
        <f t="shared" si="3"/>
        <v>2296.2226496309108</v>
      </c>
      <c r="F13" s="28">
        <f t="shared" si="4"/>
        <v>838121.26711528259</v>
      </c>
      <c r="G13" s="33">
        <v>0.86</v>
      </c>
      <c r="H13" s="35">
        <f t="shared" si="0"/>
        <v>720784.28971914307</v>
      </c>
      <c r="I13" s="155">
        <f t="shared" si="5"/>
        <v>749.47385134200078</v>
      </c>
      <c r="J13" s="28">
        <f t="shared" si="1"/>
        <v>273557.95573983027</v>
      </c>
      <c r="K13" s="31">
        <v>2.38</v>
      </c>
      <c r="L13" s="163">
        <f t="shared" si="2"/>
        <v>924516.46721833025</v>
      </c>
      <c r="M13" s="40"/>
      <c r="N13" s="533"/>
      <c r="O13" s="39"/>
      <c r="P13" s="39"/>
      <c r="Q13" s="39"/>
      <c r="R13" s="43"/>
      <c r="S13" s="43"/>
      <c r="T13" s="43"/>
      <c r="U13" s="43"/>
      <c r="V13" s="43"/>
      <c r="W13" s="43"/>
    </row>
    <row r="14" spans="3:23" x14ac:dyDescent="0.55000000000000004">
      <c r="C14" s="162">
        <v>9</v>
      </c>
      <c r="D14" s="27">
        <v>2035</v>
      </c>
      <c r="E14" s="155">
        <f t="shared" si="3"/>
        <v>2342.147102623529</v>
      </c>
      <c r="F14" s="28">
        <f t="shared" si="4"/>
        <v>854883.69245758827</v>
      </c>
      <c r="G14" s="33">
        <v>0.86</v>
      </c>
      <c r="H14" s="35">
        <f t="shared" si="0"/>
        <v>735199.97551352589</v>
      </c>
      <c r="I14" s="155">
        <f t="shared" si="5"/>
        <v>764.46332836884085</v>
      </c>
      <c r="J14" s="28">
        <f t="shared" si="1"/>
        <v>279029.11485462688</v>
      </c>
      <c r="K14" s="31">
        <v>2.38</v>
      </c>
      <c r="L14" s="163">
        <f t="shared" si="2"/>
        <v>943006.79656269692</v>
      </c>
      <c r="M14" s="40"/>
      <c r="N14" s="533"/>
      <c r="O14" s="39"/>
      <c r="P14" s="39"/>
      <c r="Q14" s="39"/>
      <c r="R14" s="43"/>
      <c r="S14" s="43"/>
      <c r="T14" s="43"/>
      <c r="U14" s="43"/>
      <c r="V14" s="43"/>
      <c r="W14" s="43"/>
    </row>
    <row r="15" spans="3:23" x14ac:dyDescent="0.55000000000000004">
      <c r="C15" s="162">
        <v>10</v>
      </c>
      <c r="D15" s="27">
        <v>2036</v>
      </c>
      <c r="E15" s="155">
        <f t="shared" si="3"/>
        <v>2388.9900446759998</v>
      </c>
      <c r="F15" s="28">
        <f t="shared" si="4"/>
        <v>871981.36630674009</v>
      </c>
      <c r="G15" s="33">
        <v>0.86</v>
      </c>
      <c r="H15" s="35">
        <f t="shared" si="0"/>
        <v>749903.97502379643</v>
      </c>
      <c r="I15" s="155">
        <f t="shared" si="5"/>
        <v>779.75259493621763</v>
      </c>
      <c r="J15" s="28">
        <f t="shared" si="1"/>
        <v>284609.69715171942</v>
      </c>
      <c r="K15" s="31">
        <v>2.38</v>
      </c>
      <c r="L15" s="163">
        <f t="shared" si="2"/>
        <v>961866.93249395082</v>
      </c>
      <c r="M15" s="40"/>
      <c r="N15" s="533"/>
      <c r="O15" s="39"/>
      <c r="P15" s="39"/>
      <c r="Q15" s="39"/>
      <c r="R15" s="43"/>
      <c r="S15" s="43"/>
      <c r="T15" s="43"/>
      <c r="U15" s="43"/>
      <c r="V15" s="43"/>
      <c r="W15" s="43"/>
    </row>
    <row r="16" spans="3:23" x14ac:dyDescent="0.55000000000000004">
      <c r="C16" s="162">
        <v>11</v>
      </c>
      <c r="D16" s="27">
        <v>2037</v>
      </c>
      <c r="E16" s="155">
        <f t="shared" si="3"/>
        <v>2436.7698455695199</v>
      </c>
      <c r="F16" s="28">
        <f t="shared" si="4"/>
        <v>889420.99363287492</v>
      </c>
      <c r="G16" s="33">
        <v>0.86</v>
      </c>
      <c r="H16" s="35">
        <f t="shared" si="0"/>
        <v>764902.05452427245</v>
      </c>
      <c r="I16" s="155">
        <f t="shared" si="5"/>
        <v>795.347646834942</v>
      </c>
      <c r="J16" s="28">
        <f t="shared" si="1"/>
        <v>290301.89109475381</v>
      </c>
      <c r="K16" s="31">
        <v>2.38</v>
      </c>
      <c r="L16" s="163">
        <f t="shared" si="2"/>
        <v>981104.27114382992</v>
      </c>
      <c r="M16" s="40"/>
      <c r="N16" s="533"/>
      <c r="O16" s="39"/>
      <c r="P16" s="39"/>
      <c r="Q16" s="39"/>
      <c r="R16" s="43"/>
      <c r="S16" s="43"/>
      <c r="T16" s="43"/>
      <c r="U16" s="43"/>
      <c r="V16" s="43"/>
      <c r="W16" s="43"/>
    </row>
    <row r="17" spans="1:23" x14ac:dyDescent="0.55000000000000004">
      <c r="C17" s="162">
        <v>12</v>
      </c>
      <c r="D17" s="27">
        <v>2038</v>
      </c>
      <c r="E17" s="155">
        <f t="shared" si="3"/>
        <v>2485.5052424809105</v>
      </c>
      <c r="F17" s="28">
        <f t="shared" si="4"/>
        <v>907209.41350553243</v>
      </c>
      <c r="G17" s="33">
        <v>0.86</v>
      </c>
      <c r="H17" s="35">
        <f t="shared" si="0"/>
        <v>780200.09561475785</v>
      </c>
      <c r="I17" s="155">
        <f t="shared" si="5"/>
        <v>811.25459977164087</v>
      </c>
      <c r="J17" s="28">
        <f t="shared" si="1"/>
        <v>296107.9289166489</v>
      </c>
      <c r="K17" s="31">
        <v>2.38</v>
      </c>
      <c r="L17" s="163">
        <f t="shared" si="2"/>
        <v>1000726.3565667067</v>
      </c>
      <c r="M17" s="40"/>
      <c r="N17" s="533"/>
      <c r="O17" s="39"/>
      <c r="P17" s="39"/>
      <c r="Q17" s="39"/>
      <c r="R17" s="43"/>
      <c r="S17" s="43"/>
      <c r="T17" s="43"/>
      <c r="U17" s="43"/>
      <c r="V17" s="43"/>
      <c r="W17" s="43"/>
    </row>
    <row r="18" spans="1:23" x14ac:dyDescent="0.55000000000000004">
      <c r="C18" s="162">
        <v>13</v>
      </c>
      <c r="D18" s="27">
        <v>2039</v>
      </c>
      <c r="E18" s="155">
        <f t="shared" si="3"/>
        <v>2535.2153473305289</v>
      </c>
      <c r="F18" s="28">
        <f t="shared" si="4"/>
        <v>925353.60177564307</v>
      </c>
      <c r="G18" s="33">
        <v>0.86</v>
      </c>
      <c r="H18" s="35">
        <f t="shared" si="0"/>
        <v>795804.09752705297</v>
      </c>
      <c r="I18" s="155">
        <f t="shared" si="5"/>
        <v>827.47969176707375</v>
      </c>
      <c r="J18" s="28">
        <f t="shared" si="1"/>
        <v>302030.08749498194</v>
      </c>
      <c r="K18" s="31">
        <v>2.38</v>
      </c>
      <c r="L18" s="163">
        <f t="shared" si="2"/>
        <v>1020740.8836980409</v>
      </c>
      <c r="M18" s="40"/>
      <c r="N18" s="533"/>
      <c r="O18" s="39"/>
      <c r="P18" s="39"/>
      <c r="Q18" s="39"/>
      <c r="R18" s="43"/>
      <c r="S18" s="43"/>
      <c r="T18" s="43"/>
      <c r="U18" s="43"/>
      <c r="V18" s="43"/>
      <c r="W18" s="43"/>
    </row>
    <row r="19" spans="1:23" x14ac:dyDescent="0.55000000000000004">
      <c r="C19" s="162">
        <v>14</v>
      </c>
      <c r="D19" s="27">
        <v>2040</v>
      </c>
      <c r="E19" s="155">
        <f t="shared" si="3"/>
        <v>2585.9196542771397</v>
      </c>
      <c r="F19" s="28">
        <f t="shared" si="4"/>
        <v>943860.67381115595</v>
      </c>
      <c r="G19" s="33">
        <v>0.86</v>
      </c>
      <c r="H19" s="35">
        <f t="shared" si="0"/>
        <v>811720.17947759409</v>
      </c>
      <c r="I19" s="155">
        <f t="shared" si="5"/>
        <v>844.02928560241526</v>
      </c>
      <c r="J19" s="28">
        <f t="shared" si="1"/>
        <v>308070.68924488156</v>
      </c>
      <c r="K19" s="31">
        <v>2.38</v>
      </c>
      <c r="L19" s="163">
        <f t="shared" si="2"/>
        <v>1041155.7013720017</v>
      </c>
      <c r="M19" s="40"/>
      <c r="N19" s="533"/>
      <c r="O19" s="39"/>
      <c r="P19" s="39"/>
      <c r="Q19" s="39"/>
      <c r="R19" s="43"/>
      <c r="S19" s="43"/>
      <c r="T19" s="43"/>
      <c r="U19" s="43"/>
      <c r="V19" s="43"/>
      <c r="W19" s="43"/>
    </row>
    <row r="20" spans="1:23" x14ac:dyDescent="0.55000000000000004">
      <c r="C20" s="162">
        <v>15</v>
      </c>
      <c r="D20" s="27">
        <v>2041</v>
      </c>
      <c r="E20" s="155">
        <f t="shared" si="3"/>
        <v>2637.6380473626823</v>
      </c>
      <c r="F20" s="28">
        <f t="shared" si="4"/>
        <v>962737.88728737913</v>
      </c>
      <c r="G20" s="33">
        <v>0.86</v>
      </c>
      <c r="H20" s="35">
        <f t="shared" si="0"/>
        <v>827954.58306714601</v>
      </c>
      <c r="I20" s="155">
        <f t="shared" si="5"/>
        <v>860.90987131446354</v>
      </c>
      <c r="J20" s="28">
        <f t="shared" si="1"/>
        <v>314232.10302977922</v>
      </c>
      <c r="K20" s="31">
        <v>2.38</v>
      </c>
      <c r="L20" s="163">
        <f t="shared" si="2"/>
        <v>1061978.8153994416</v>
      </c>
      <c r="M20" s="40"/>
      <c r="N20" s="533"/>
      <c r="O20" s="39"/>
      <c r="P20" s="39"/>
      <c r="Q20" s="39"/>
      <c r="R20" s="43"/>
      <c r="S20" s="43"/>
      <c r="T20" s="43"/>
      <c r="U20" s="43"/>
      <c r="V20" s="43"/>
      <c r="W20" s="43"/>
    </row>
    <row r="21" spans="1:23" x14ac:dyDescent="0.55000000000000004">
      <c r="C21" s="162">
        <v>16</v>
      </c>
      <c r="D21" s="27">
        <v>2042</v>
      </c>
      <c r="E21" s="155">
        <f t="shared" si="3"/>
        <v>2690.3908083099359</v>
      </c>
      <c r="F21" s="28">
        <f t="shared" si="4"/>
        <v>981992.6450331267</v>
      </c>
      <c r="G21" s="33">
        <v>0.86</v>
      </c>
      <c r="H21" s="35">
        <f t="shared" si="0"/>
        <v>844513.6747284889</v>
      </c>
      <c r="I21" s="155">
        <f t="shared" si="5"/>
        <v>878.12806874075284</v>
      </c>
      <c r="J21" s="28">
        <f t="shared" si="1"/>
        <v>320516.74509037478</v>
      </c>
      <c r="K21" s="31">
        <v>2.38</v>
      </c>
      <c r="L21" s="163">
        <f t="shared" si="2"/>
        <v>1083218.3917074306</v>
      </c>
      <c r="M21" s="40"/>
      <c r="N21" s="533"/>
      <c r="O21" s="39"/>
      <c r="P21" s="39"/>
      <c r="Q21" s="39"/>
      <c r="R21" s="43"/>
      <c r="S21" s="43"/>
      <c r="T21" s="43"/>
      <c r="U21" s="43"/>
      <c r="V21" s="43"/>
      <c r="W21" s="43"/>
    </row>
    <row r="22" spans="1:23" x14ac:dyDescent="0.55000000000000004">
      <c r="C22" s="162">
        <v>17</v>
      </c>
      <c r="D22" s="27">
        <v>2043</v>
      </c>
      <c r="E22" s="155">
        <f t="shared" si="3"/>
        <v>2744.1986244761347</v>
      </c>
      <c r="F22" s="28">
        <f t="shared" si="4"/>
        <v>1001632.4979337893</v>
      </c>
      <c r="G22" s="33">
        <v>0.86</v>
      </c>
      <c r="H22" s="35">
        <f t="shared" si="0"/>
        <v>861403.94822305872</v>
      </c>
      <c r="I22" s="155">
        <f t="shared" si="5"/>
        <v>895.69063011556796</v>
      </c>
      <c r="J22" s="28">
        <f t="shared" si="1"/>
        <v>326927.07999218232</v>
      </c>
      <c r="K22" s="31">
        <v>2.38</v>
      </c>
      <c r="L22" s="163">
        <f t="shared" si="2"/>
        <v>1104882.7595415793</v>
      </c>
      <c r="M22" s="40"/>
      <c r="N22" s="533"/>
      <c r="O22" s="39"/>
      <c r="P22" s="39"/>
      <c r="Q22" s="39"/>
      <c r="R22" s="43"/>
      <c r="S22" s="43"/>
      <c r="T22" s="43"/>
      <c r="U22" s="43"/>
      <c r="V22" s="43"/>
      <c r="W22" s="43"/>
    </row>
    <row r="23" spans="1:23" x14ac:dyDescent="0.55000000000000004">
      <c r="C23" s="162">
        <v>18</v>
      </c>
      <c r="D23" s="27">
        <v>2044</v>
      </c>
      <c r="E23" s="155">
        <f t="shared" si="3"/>
        <v>2799.0825969656576</v>
      </c>
      <c r="F23" s="28">
        <f t="shared" si="4"/>
        <v>1021665.1478924651</v>
      </c>
      <c r="G23" s="33">
        <v>0.86</v>
      </c>
      <c r="H23" s="35">
        <f t="shared" si="0"/>
        <v>878632.02718751994</v>
      </c>
      <c r="I23" s="155">
        <f t="shared" si="5"/>
        <v>913.60444271787935</v>
      </c>
      <c r="J23" s="28">
        <f t="shared" si="1"/>
        <v>333465.62159202597</v>
      </c>
      <c r="K23" s="31">
        <v>2.38</v>
      </c>
      <c r="L23" s="163">
        <f t="shared" si="2"/>
        <v>1126980.414732411</v>
      </c>
      <c r="M23" s="40"/>
      <c r="N23" s="533"/>
      <c r="O23" s="39"/>
      <c r="P23" s="39"/>
      <c r="Q23" s="39"/>
      <c r="R23" s="43"/>
      <c r="S23" s="43"/>
      <c r="T23" s="43"/>
      <c r="U23" s="43"/>
      <c r="V23" s="43"/>
      <c r="W23" s="43"/>
    </row>
    <row r="24" spans="1:23" x14ac:dyDescent="0.55000000000000004">
      <c r="C24" s="162">
        <v>19</v>
      </c>
      <c r="D24" s="27">
        <v>2045</v>
      </c>
      <c r="E24" s="155">
        <f t="shared" si="3"/>
        <v>2855.0642489049706</v>
      </c>
      <c r="F24" s="28">
        <f t="shared" si="4"/>
        <v>1042098.4508503145</v>
      </c>
      <c r="G24" s="33">
        <v>0.86</v>
      </c>
      <c r="H24" s="35">
        <f t="shared" si="0"/>
        <v>896204.66773127043</v>
      </c>
      <c r="I24" s="155">
        <f t="shared" si="5"/>
        <v>931.8765315722369</v>
      </c>
      <c r="J24" s="28">
        <f t="shared" si="1"/>
        <v>340134.93402386649</v>
      </c>
      <c r="K24" s="31">
        <v>2.38</v>
      </c>
      <c r="L24" s="163">
        <f t="shared" si="2"/>
        <v>1149520.0230270592</v>
      </c>
      <c r="M24" s="40"/>
      <c r="N24" s="533"/>
      <c r="O24" s="39"/>
      <c r="P24" s="39"/>
      <c r="Q24" s="39"/>
      <c r="R24" s="43"/>
      <c r="S24" s="43"/>
      <c r="T24" s="43"/>
      <c r="U24" s="43"/>
      <c r="V24" s="43"/>
      <c r="W24" s="43"/>
    </row>
    <row r="25" spans="1:23" ht="14.7" thickBot="1" x14ac:dyDescent="0.6">
      <c r="C25" s="164">
        <v>20</v>
      </c>
      <c r="D25" s="165">
        <v>2046</v>
      </c>
      <c r="E25" s="166">
        <f t="shared" si="3"/>
        <v>2912.1655338830701</v>
      </c>
      <c r="F25" s="167">
        <f t="shared" si="4"/>
        <v>1062940.4198673207</v>
      </c>
      <c r="G25" s="168">
        <v>0.86</v>
      </c>
      <c r="H25" s="169">
        <f t="shared" si="0"/>
        <v>914128.76108589582</v>
      </c>
      <c r="I25" s="166">
        <f t="shared" si="5"/>
        <v>950.51406220368165</v>
      </c>
      <c r="J25" s="167">
        <f t="shared" si="1"/>
        <v>346937.63270434382</v>
      </c>
      <c r="K25" s="170">
        <v>2.38</v>
      </c>
      <c r="L25" s="171">
        <f t="shared" si="2"/>
        <v>1172510.4234876002</v>
      </c>
      <c r="M25" s="40"/>
      <c r="N25" s="533"/>
      <c r="O25" s="39"/>
      <c r="P25" s="39"/>
      <c r="Q25" s="39"/>
      <c r="R25" s="43"/>
      <c r="S25" s="43"/>
      <c r="T25" s="43"/>
      <c r="U25" s="43"/>
      <c r="V25" s="43"/>
      <c r="W25" s="43"/>
    </row>
    <row r="26" spans="1:23" ht="16.2" thickTop="1" thickBot="1" x14ac:dyDescent="0.65">
      <c r="G26" s="172" t="s">
        <v>176</v>
      </c>
      <c r="H26" s="760">
        <f>SUM(H6:H25)</f>
        <v>15246261.815380666</v>
      </c>
      <c r="I26" s="173"/>
      <c r="J26" s="174"/>
      <c r="K26" s="174"/>
      <c r="L26" s="762">
        <f>SUM(L6:L25)</f>
        <v>19555670.55621288</v>
      </c>
      <c r="M26" s="40"/>
      <c r="N26" s="739">
        <f>H26+L26</f>
        <v>34801932.37159355</v>
      </c>
      <c r="O26" s="39"/>
      <c r="P26" s="39"/>
      <c r="Q26" s="39"/>
      <c r="R26" s="43"/>
      <c r="S26" s="43"/>
      <c r="T26" s="43"/>
      <c r="U26" s="43"/>
      <c r="V26" s="43"/>
      <c r="W26" s="43"/>
    </row>
    <row r="27" spans="1:23" ht="14.7" thickTop="1" x14ac:dyDescent="0.55000000000000004">
      <c r="J27" s="10" t="s">
        <v>96</v>
      </c>
      <c r="M27" s="40"/>
      <c r="N27" s="39"/>
      <c r="O27" s="39"/>
      <c r="P27" s="39"/>
      <c r="Q27" s="39"/>
      <c r="R27" s="43"/>
      <c r="S27" s="43"/>
      <c r="T27" s="43"/>
      <c r="U27" s="43"/>
      <c r="V27" s="43"/>
      <c r="W27" s="43"/>
    </row>
    <row r="28" spans="1:23" x14ac:dyDescent="0.55000000000000004"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spans="1:23" x14ac:dyDescent="0.55000000000000004">
      <c r="A29" s="7" t="s">
        <v>127</v>
      </c>
      <c r="B29" s="57" t="s">
        <v>125</v>
      </c>
      <c r="C29" s="57" t="s">
        <v>126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spans="1:23" x14ac:dyDescent="0.55000000000000004">
      <c r="A30" s="7">
        <v>12.1</v>
      </c>
      <c r="B30" s="57">
        <v>1.78</v>
      </c>
      <c r="C30" s="57">
        <v>1.51</v>
      </c>
      <c r="F30" s="58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spans="1:23" x14ac:dyDescent="0.55000000000000004">
      <c r="A31" s="7">
        <v>9.8000000000000007</v>
      </c>
      <c r="B31" s="57">
        <v>1.42</v>
      </c>
      <c r="C31" s="57">
        <v>2.2000000000000002</v>
      </c>
      <c r="F31" s="58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spans="1:23" x14ac:dyDescent="0.55000000000000004">
      <c r="B32" s="57"/>
      <c r="C32" s="57">
        <f>SUM(C30:C31)</f>
        <v>3.71</v>
      </c>
      <c r="D32" s="7"/>
      <c r="E32" s="66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</row>
    <row r="33" spans="3:23" x14ac:dyDescent="0.55000000000000004"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</row>
    <row r="34" spans="3:23" x14ac:dyDescent="0.55000000000000004"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</row>
    <row r="35" spans="3:23" x14ac:dyDescent="0.55000000000000004"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spans="3:23" x14ac:dyDescent="0.55000000000000004"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</row>
    <row r="37" spans="3:23" x14ac:dyDescent="0.55000000000000004"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</row>
    <row r="38" spans="3:23" x14ac:dyDescent="0.55000000000000004"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</row>
    <row r="39" spans="3:23" x14ac:dyDescent="0.55000000000000004"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</row>
    <row r="40" spans="3:23" x14ac:dyDescent="0.55000000000000004">
      <c r="C40" s="154"/>
      <c r="D40" s="154"/>
      <c r="E40" s="154"/>
      <c r="F40" s="154"/>
      <c r="G40" s="154"/>
      <c r="H40" s="154"/>
      <c r="I40" s="154"/>
      <c r="J40" s="154"/>
      <c r="K40" s="154"/>
      <c r="L40" s="154"/>
    </row>
    <row r="41" spans="3:23" x14ac:dyDescent="0.55000000000000004">
      <c r="C41" s="154"/>
      <c r="D41" s="154"/>
      <c r="E41" s="154"/>
      <c r="F41" s="154"/>
      <c r="G41" s="154"/>
      <c r="H41" s="154"/>
      <c r="I41" s="154"/>
      <c r="J41" s="154"/>
      <c r="K41" s="154"/>
      <c r="L41" s="154"/>
    </row>
    <row r="42" spans="3:23" x14ac:dyDescent="0.55000000000000004">
      <c r="C42" s="154"/>
      <c r="D42" s="154"/>
      <c r="E42" s="154"/>
      <c r="F42" s="154"/>
      <c r="G42" s="154"/>
      <c r="H42" s="154"/>
      <c r="I42" s="154"/>
      <c r="J42" s="154"/>
      <c r="K42" s="154"/>
      <c r="L42" s="154"/>
    </row>
    <row r="43" spans="3:23" x14ac:dyDescent="0.55000000000000004">
      <c r="C43" s="154"/>
      <c r="D43" s="154"/>
      <c r="E43" s="154"/>
      <c r="F43" s="154"/>
      <c r="G43" s="154"/>
      <c r="H43" s="154"/>
      <c r="I43" s="154"/>
      <c r="J43" s="154"/>
      <c r="K43" s="154"/>
      <c r="L43" s="154"/>
    </row>
    <row r="44" spans="3:23" x14ac:dyDescent="0.55000000000000004">
      <c r="C44" s="154"/>
      <c r="D44" s="154"/>
      <c r="E44" s="154"/>
      <c r="F44" s="154"/>
      <c r="G44" s="154"/>
      <c r="H44" s="154"/>
      <c r="I44" s="154"/>
      <c r="J44" s="154"/>
      <c r="K44" s="154"/>
      <c r="L44" s="154"/>
    </row>
    <row r="45" spans="3:23" x14ac:dyDescent="0.55000000000000004">
      <c r="C45" s="154"/>
      <c r="D45" s="154"/>
      <c r="E45" s="154"/>
      <c r="F45" s="154"/>
      <c r="G45" s="154"/>
      <c r="H45" s="154"/>
      <c r="I45" s="154"/>
      <c r="J45" s="154"/>
      <c r="K45" s="154"/>
      <c r="L45" s="154"/>
    </row>
    <row r="46" spans="3:23" x14ac:dyDescent="0.55000000000000004">
      <c r="C46" s="154"/>
      <c r="D46" s="154"/>
      <c r="E46" s="154"/>
      <c r="F46" s="154"/>
      <c r="G46" s="154"/>
      <c r="H46" s="154"/>
      <c r="I46" s="154"/>
      <c r="J46" s="154"/>
      <c r="K46" s="154"/>
      <c r="L46" s="154"/>
    </row>
    <row r="47" spans="3:23" x14ac:dyDescent="0.55000000000000004">
      <c r="C47" s="154"/>
      <c r="D47" s="154"/>
      <c r="E47" s="154"/>
      <c r="F47" s="154"/>
      <c r="G47" s="154"/>
      <c r="H47" s="154"/>
      <c r="I47" s="154"/>
      <c r="J47" s="154"/>
      <c r="K47" s="154"/>
      <c r="L47" s="154"/>
    </row>
    <row r="48" spans="3:23" x14ac:dyDescent="0.55000000000000004">
      <c r="C48" s="154"/>
      <c r="D48" s="154"/>
      <c r="E48" s="154"/>
      <c r="F48" s="154"/>
      <c r="G48" s="154"/>
      <c r="H48" s="154"/>
      <c r="I48" s="154"/>
      <c r="J48" s="154"/>
      <c r="K48" s="154"/>
      <c r="L48" s="154"/>
    </row>
    <row r="49" spans="3:12" x14ac:dyDescent="0.55000000000000004">
      <c r="C49" s="154"/>
      <c r="D49" s="154"/>
      <c r="E49" s="154"/>
      <c r="F49" s="154"/>
      <c r="G49" s="154"/>
      <c r="H49" s="154"/>
      <c r="I49" s="154"/>
      <c r="J49" s="154"/>
      <c r="K49" s="154"/>
      <c r="L49" s="154"/>
    </row>
    <row r="50" spans="3:12" x14ac:dyDescent="0.55000000000000004">
      <c r="C50" s="154"/>
      <c r="D50" s="154"/>
      <c r="E50" s="154"/>
      <c r="F50" s="154"/>
      <c r="G50" s="154"/>
      <c r="H50" s="154"/>
      <c r="I50" s="154"/>
      <c r="J50" s="154"/>
      <c r="K50" s="154"/>
      <c r="L50" s="154"/>
    </row>
    <row r="51" spans="3:12" x14ac:dyDescent="0.55000000000000004">
      <c r="C51" s="154"/>
      <c r="D51" s="154"/>
      <c r="E51" s="154"/>
      <c r="F51" s="154"/>
      <c r="G51" s="154"/>
      <c r="H51" s="154"/>
      <c r="I51" s="154"/>
      <c r="J51" s="154"/>
      <c r="K51" s="154"/>
      <c r="L51" s="154"/>
    </row>
    <row r="52" spans="3:12" x14ac:dyDescent="0.55000000000000004">
      <c r="C52" s="154"/>
      <c r="D52" s="154"/>
      <c r="E52" s="154"/>
      <c r="F52" s="154"/>
      <c r="G52" s="154"/>
      <c r="H52" s="154"/>
      <c r="I52" s="154"/>
      <c r="J52" s="154"/>
      <c r="K52" s="154"/>
      <c r="L52" s="154"/>
    </row>
    <row r="53" spans="3:12" x14ac:dyDescent="0.55000000000000004">
      <c r="C53" s="154"/>
      <c r="D53" s="154"/>
      <c r="E53" s="154"/>
      <c r="F53" s="154"/>
      <c r="G53" s="154"/>
      <c r="H53" s="154"/>
      <c r="I53" s="154"/>
      <c r="J53" s="154"/>
      <c r="K53" s="154"/>
      <c r="L53" s="154"/>
    </row>
    <row r="54" spans="3:12" x14ac:dyDescent="0.55000000000000004">
      <c r="C54" s="154"/>
      <c r="D54" s="154"/>
      <c r="E54" s="154"/>
      <c r="F54" s="154"/>
      <c r="G54" s="154"/>
      <c r="H54" s="154"/>
      <c r="I54" s="154"/>
      <c r="J54" s="154"/>
      <c r="K54" s="154"/>
      <c r="L54" s="154"/>
    </row>
    <row r="55" spans="3:12" x14ac:dyDescent="0.55000000000000004">
      <c r="C55" s="154"/>
      <c r="D55" s="154"/>
      <c r="E55" s="154"/>
      <c r="F55" s="154"/>
      <c r="G55" s="154"/>
      <c r="H55" s="154"/>
      <c r="I55" s="154"/>
      <c r="J55" s="154"/>
      <c r="K55" s="154"/>
      <c r="L55" s="154"/>
    </row>
  </sheetData>
  <mergeCells count="6">
    <mergeCell ref="C4:L4"/>
    <mergeCell ref="P4:R4"/>
    <mergeCell ref="C2:D2"/>
    <mergeCell ref="J2:K2"/>
    <mergeCell ref="C1:E1"/>
    <mergeCell ref="J1:L1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E4F32-F193-4D44-9E99-372B2A65E0F5}">
  <sheetPr>
    <tabColor theme="0" tint="-0.249977111117893"/>
  </sheetPr>
  <dimension ref="A1:W55"/>
  <sheetViews>
    <sheetView workbookViewId="0"/>
  </sheetViews>
  <sheetFormatPr defaultRowHeight="14.4" x14ac:dyDescent="0.55000000000000004"/>
  <cols>
    <col min="1" max="1" width="10.41796875" bestFit="1" customWidth="1"/>
    <col min="3" max="5" width="14.41796875" customWidth="1"/>
    <col min="6" max="6" width="19" customWidth="1"/>
    <col min="7" max="9" width="15" customWidth="1"/>
    <col min="10" max="10" width="16" customWidth="1"/>
    <col min="11" max="11" width="15.26171875" customWidth="1"/>
    <col min="12" max="12" width="17.41796875" customWidth="1"/>
    <col min="14" max="14" width="10.15625" bestFit="1" customWidth="1"/>
    <col min="18" max="18" width="0" hidden="1" customWidth="1"/>
    <col min="20" max="20" width="28.578125" customWidth="1"/>
    <col min="21" max="21" width="30.578125" bestFit="1" customWidth="1"/>
  </cols>
  <sheetData>
    <row r="1" spans="3:23" ht="14.7" thickBot="1" x14ac:dyDescent="0.6">
      <c r="C1" s="933" t="s">
        <v>172</v>
      </c>
      <c r="D1" s="934"/>
      <c r="E1" s="935"/>
      <c r="J1" s="933" t="s">
        <v>173</v>
      </c>
      <c r="K1" s="934"/>
      <c r="L1" s="935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3:23" x14ac:dyDescent="0.55000000000000004">
      <c r="C2" s="931" t="s">
        <v>167</v>
      </c>
      <c r="D2" s="932"/>
      <c r="E2" s="156">
        <v>0.02</v>
      </c>
      <c r="J2" s="931" t="s">
        <v>169</v>
      </c>
      <c r="K2" s="932"/>
      <c r="L2" s="156">
        <v>0.02</v>
      </c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3:23" ht="14.7" thickBot="1" x14ac:dyDescent="0.6">
      <c r="C3" s="157" t="s">
        <v>168</v>
      </c>
      <c r="D3" s="158"/>
      <c r="E3" s="766">
        <f>T31</f>
        <v>6.5680663128089352</v>
      </c>
      <c r="J3" s="157" t="s">
        <v>170</v>
      </c>
      <c r="K3" s="159"/>
      <c r="L3" s="761">
        <f>'TRIP GENERATION'!E56</f>
        <v>356.26027397260276</v>
      </c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3:23" ht="15" thickTop="1" thickBot="1" x14ac:dyDescent="0.6">
      <c r="C4" s="922" t="s">
        <v>265</v>
      </c>
      <c r="D4" s="923"/>
      <c r="E4" s="923"/>
      <c r="F4" s="923"/>
      <c r="G4" s="923"/>
      <c r="H4" s="923"/>
      <c r="I4" s="923"/>
      <c r="J4" s="923"/>
      <c r="K4" s="923"/>
      <c r="L4" s="924"/>
      <c r="M4" s="19"/>
      <c r="N4" s="19"/>
      <c r="O4" s="19"/>
      <c r="P4" s="916"/>
      <c r="Q4" s="916"/>
      <c r="R4" s="916"/>
      <c r="S4" s="19"/>
      <c r="T4" s="19"/>
      <c r="U4" s="19"/>
      <c r="V4" s="19"/>
      <c r="W4" s="19"/>
    </row>
    <row r="5" spans="3:23" ht="58.2" thickTop="1" thickBot="1" x14ac:dyDescent="0.6">
      <c r="C5" s="160" t="s">
        <v>4</v>
      </c>
      <c r="D5" s="32" t="s">
        <v>2</v>
      </c>
      <c r="E5" s="46" t="s">
        <v>171</v>
      </c>
      <c r="F5" s="46" t="s">
        <v>174</v>
      </c>
      <c r="G5" s="46" t="s">
        <v>90</v>
      </c>
      <c r="H5" s="46" t="s">
        <v>92</v>
      </c>
      <c r="I5" s="45" t="s">
        <v>170</v>
      </c>
      <c r="J5" s="45" t="s">
        <v>175</v>
      </c>
      <c r="K5" s="36" t="s">
        <v>91</v>
      </c>
      <c r="L5" s="161" t="s">
        <v>93</v>
      </c>
      <c r="M5" s="19"/>
      <c r="N5" s="531" t="s">
        <v>176</v>
      </c>
      <c r="O5" s="19"/>
      <c r="P5" s="37"/>
      <c r="Q5" s="37"/>
      <c r="R5" s="37"/>
      <c r="S5" s="19"/>
      <c r="T5" s="19"/>
      <c r="U5" s="19"/>
      <c r="V5" s="19"/>
      <c r="W5" s="19"/>
    </row>
    <row r="6" spans="3:23" ht="15" thickTop="1" thickBot="1" x14ac:dyDescent="0.6">
      <c r="C6" s="162">
        <v>1</v>
      </c>
      <c r="D6" s="27">
        <v>2027</v>
      </c>
      <c r="E6" s="155">
        <f>E3</f>
        <v>6.5680663128089352</v>
      </c>
      <c r="F6" s="28">
        <f>E6*365</f>
        <v>2397.3442041752614</v>
      </c>
      <c r="G6" s="33">
        <v>0.86</v>
      </c>
      <c r="H6" s="35">
        <f>F6*G6</f>
        <v>2061.716015590725</v>
      </c>
      <c r="I6" s="155">
        <f>$L$3</f>
        <v>356.26027397260276</v>
      </c>
      <c r="J6" s="28">
        <f>I6*365</f>
        <v>130035.00000000001</v>
      </c>
      <c r="K6" s="31">
        <v>2.38</v>
      </c>
      <c r="L6" s="163">
        <f>J6*K6*1.42</f>
        <v>439466.28600000002</v>
      </c>
      <c r="M6" s="19"/>
      <c r="N6" s="534">
        <f>H6+L6</f>
        <v>441528.00201559073</v>
      </c>
      <c r="O6" s="19"/>
      <c r="P6" s="19"/>
      <c r="W6" s="19"/>
    </row>
    <row r="7" spans="3:23" ht="14.7" thickTop="1" x14ac:dyDescent="0.55000000000000004">
      <c r="C7" s="162">
        <v>2</v>
      </c>
      <c r="D7" s="27">
        <v>2028</v>
      </c>
      <c r="E7" s="155">
        <f>E6*(1+$E$2)</f>
        <v>6.6994276390651137</v>
      </c>
      <c r="F7" s="28">
        <f>F6*(1+$E$2)</f>
        <v>2445.2910882587666</v>
      </c>
      <c r="G7" s="33">
        <v>0.86</v>
      </c>
      <c r="H7" s="35">
        <f t="shared" ref="H7:H25" si="0">F7*G7</f>
        <v>2102.9503359025393</v>
      </c>
      <c r="I7" s="155">
        <f>I6*(1+$L$2)</f>
        <v>363.38547945205482</v>
      </c>
      <c r="J7" s="28">
        <f t="shared" ref="J7:J25" si="1">I7*365</f>
        <v>132635.70000000001</v>
      </c>
      <c r="K7" s="31">
        <v>2.38</v>
      </c>
      <c r="L7" s="163">
        <f t="shared" ref="L7:L25" si="2">J7*K7*1.42</f>
        <v>448255.61171999999</v>
      </c>
      <c r="M7" s="19"/>
      <c r="N7" s="532"/>
      <c r="O7" s="19"/>
      <c r="P7" s="19"/>
      <c r="W7" s="19"/>
    </row>
    <row r="8" spans="3:23" x14ac:dyDescent="0.55000000000000004">
      <c r="C8" s="162">
        <v>3</v>
      </c>
      <c r="D8" s="27">
        <v>2029</v>
      </c>
      <c r="E8" s="155">
        <f t="shared" ref="E8:F23" si="3">E7*(1+$E$2)</f>
        <v>6.8334161918464158</v>
      </c>
      <c r="F8" s="28">
        <f t="shared" si="3"/>
        <v>2494.1969100239421</v>
      </c>
      <c r="G8" s="33">
        <v>0.86</v>
      </c>
      <c r="H8" s="35">
        <f t="shared" si="0"/>
        <v>2145.0093426205904</v>
      </c>
      <c r="I8" s="155">
        <f t="shared" ref="I8:I25" si="4">I7*(1+$L$2)</f>
        <v>370.65318904109591</v>
      </c>
      <c r="J8" s="28">
        <f t="shared" si="1"/>
        <v>135288.41400000002</v>
      </c>
      <c r="K8" s="31">
        <v>2.38</v>
      </c>
      <c r="L8" s="163">
        <f t="shared" si="2"/>
        <v>457220.72395440005</v>
      </c>
      <c r="M8" s="19"/>
      <c r="N8" s="532"/>
      <c r="O8" s="19"/>
      <c r="P8" s="19"/>
      <c r="W8" s="19"/>
    </row>
    <row r="9" spans="3:23" x14ac:dyDescent="0.55000000000000004">
      <c r="C9" s="162">
        <v>4</v>
      </c>
      <c r="D9" s="27">
        <v>2030</v>
      </c>
      <c r="E9" s="155">
        <f t="shared" si="3"/>
        <v>6.970084515683344</v>
      </c>
      <c r="F9" s="28">
        <f t="shared" si="3"/>
        <v>2544.0808482244211</v>
      </c>
      <c r="G9" s="33">
        <v>0.86</v>
      </c>
      <c r="H9" s="35">
        <f t="shared" si="0"/>
        <v>2187.9095294730023</v>
      </c>
      <c r="I9" s="155">
        <f t="shared" si="4"/>
        <v>378.06625282191783</v>
      </c>
      <c r="J9" s="28">
        <f t="shared" si="1"/>
        <v>137994.18228000001</v>
      </c>
      <c r="K9" s="31">
        <v>2.38</v>
      </c>
      <c r="L9" s="163">
        <f t="shared" si="2"/>
        <v>466365.13843348797</v>
      </c>
      <c r="M9" s="42"/>
      <c r="N9" s="532"/>
      <c r="O9" s="42"/>
      <c r="P9" s="42"/>
      <c r="W9" s="19"/>
    </row>
    <row r="10" spans="3:23" x14ac:dyDescent="0.55000000000000004">
      <c r="C10" s="162">
        <v>5</v>
      </c>
      <c r="D10" s="27">
        <v>2031</v>
      </c>
      <c r="E10" s="155">
        <f t="shared" si="3"/>
        <v>7.109486205997011</v>
      </c>
      <c r="F10" s="28">
        <f t="shared" si="3"/>
        <v>2594.9624651889094</v>
      </c>
      <c r="G10" s="33">
        <v>0.86</v>
      </c>
      <c r="H10" s="35">
        <f t="shared" si="0"/>
        <v>2231.6677200624622</v>
      </c>
      <c r="I10" s="155">
        <f t="shared" si="4"/>
        <v>385.62757787835619</v>
      </c>
      <c r="J10" s="28">
        <f t="shared" si="1"/>
        <v>140754.06592560001</v>
      </c>
      <c r="K10" s="31">
        <v>2.38</v>
      </c>
      <c r="L10" s="163">
        <f t="shared" si="2"/>
        <v>475692.4412021577</v>
      </c>
      <c r="M10" s="41"/>
      <c r="N10" s="532"/>
      <c r="O10" s="41"/>
      <c r="P10" s="41"/>
      <c r="W10" s="19"/>
    </row>
    <row r="11" spans="3:23" x14ac:dyDescent="0.55000000000000004">
      <c r="C11" s="162">
        <v>6</v>
      </c>
      <c r="D11" s="27">
        <v>2032</v>
      </c>
      <c r="E11" s="155">
        <f t="shared" si="3"/>
        <v>7.2516759301169511</v>
      </c>
      <c r="F11" s="28">
        <f t="shared" si="3"/>
        <v>2646.8617144926875</v>
      </c>
      <c r="G11" s="33">
        <v>0.86</v>
      </c>
      <c r="H11" s="35">
        <f t="shared" si="0"/>
        <v>2276.3010744637113</v>
      </c>
      <c r="I11" s="155">
        <f t="shared" si="4"/>
        <v>393.3401294359233</v>
      </c>
      <c r="J11" s="28">
        <f t="shared" si="1"/>
        <v>143569.14724411201</v>
      </c>
      <c r="K11" s="31">
        <v>2.38</v>
      </c>
      <c r="L11" s="163">
        <f t="shared" si="2"/>
        <v>485206.29002620094</v>
      </c>
      <c r="M11" s="41"/>
      <c r="N11" s="532"/>
      <c r="O11" s="37"/>
      <c r="P11" s="37"/>
      <c r="Q11" s="37"/>
      <c r="R11" s="19"/>
      <c r="S11" s="19"/>
      <c r="T11" s="19"/>
      <c r="U11" s="19"/>
      <c r="V11" s="19"/>
      <c r="W11" s="19"/>
    </row>
    <row r="12" spans="3:23" x14ac:dyDescent="0.55000000000000004">
      <c r="C12" s="162">
        <v>7</v>
      </c>
      <c r="D12" s="27">
        <v>2033</v>
      </c>
      <c r="E12" s="155">
        <f t="shared" si="3"/>
        <v>7.3967094487192906</v>
      </c>
      <c r="F12" s="28">
        <f t="shared" si="3"/>
        <v>2699.7989487825412</v>
      </c>
      <c r="G12" s="33">
        <v>0.86</v>
      </c>
      <c r="H12" s="35">
        <f t="shared" si="0"/>
        <v>2321.8270959529855</v>
      </c>
      <c r="I12" s="155">
        <f t="shared" si="4"/>
        <v>401.20693202464179</v>
      </c>
      <c r="J12" s="28">
        <f t="shared" si="1"/>
        <v>146440.53018899425</v>
      </c>
      <c r="K12" s="31">
        <v>2.38</v>
      </c>
      <c r="L12" s="163">
        <f t="shared" si="2"/>
        <v>494910.41582672496</v>
      </c>
      <c r="M12" s="38"/>
      <c r="N12" s="533"/>
      <c r="O12" s="39"/>
      <c r="P12" s="39"/>
      <c r="Q12" s="39"/>
      <c r="R12" s="44"/>
      <c r="S12" s="44"/>
      <c r="T12" s="44"/>
      <c r="U12" s="44"/>
      <c r="V12" s="44"/>
      <c r="W12" s="44"/>
    </row>
    <row r="13" spans="3:23" ht="14.5" customHeight="1" x14ac:dyDescent="0.55000000000000004">
      <c r="C13" s="162">
        <v>8</v>
      </c>
      <c r="D13" s="27">
        <v>2034</v>
      </c>
      <c r="E13" s="155">
        <f t="shared" si="3"/>
        <v>7.5446436376936763</v>
      </c>
      <c r="F13" s="28">
        <f t="shared" si="3"/>
        <v>2753.794927758192</v>
      </c>
      <c r="G13" s="33">
        <v>0.86</v>
      </c>
      <c r="H13" s="35">
        <f t="shared" si="0"/>
        <v>2368.2636378720449</v>
      </c>
      <c r="I13" s="155">
        <f t="shared" si="4"/>
        <v>409.23107066513461</v>
      </c>
      <c r="J13" s="28">
        <f t="shared" si="1"/>
        <v>149369.34079277414</v>
      </c>
      <c r="K13" s="31">
        <v>2.38</v>
      </c>
      <c r="L13" s="163">
        <f t="shared" si="2"/>
        <v>504808.62414325943</v>
      </c>
      <c r="M13" s="40"/>
      <c r="N13" s="533"/>
      <c r="O13" s="39"/>
      <c r="P13" s="39"/>
      <c r="Q13" s="39"/>
      <c r="R13" s="43"/>
      <c r="S13" s="43"/>
      <c r="T13" s="43"/>
      <c r="U13" s="43"/>
      <c r="V13" s="43"/>
      <c r="W13" s="43"/>
    </row>
    <row r="14" spans="3:23" x14ac:dyDescent="0.55000000000000004">
      <c r="C14" s="162">
        <v>9</v>
      </c>
      <c r="D14" s="27">
        <v>2035</v>
      </c>
      <c r="E14" s="155">
        <f t="shared" si="3"/>
        <v>7.6955365104475497</v>
      </c>
      <c r="F14" s="28">
        <f t="shared" si="3"/>
        <v>2808.8708263133558</v>
      </c>
      <c r="G14" s="33">
        <v>0.86</v>
      </c>
      <c r="H14" s="35">
        <f t="shared" si="0"/>
        <v>2415.6289106294857</v>
      </c>
      <c r="I14" s="155">
        <f t="shared" si="4"/>
        <v>417.4156920784373</v>
      </c>
      <c r="J14" s="28">
        <f t="shared" si="1"/>
        <v>152356.72760862962</v>
      </c>
      <c r="K14" s="31">
        <v>2.38</v>
      </c>
      <c r="L14" s="163">
        <f t="shared" si="2"/>
        <v>514904.79662612459</v>
      </c>
      <c r="M14" s="40"/>
      <c r="N14" s="533"/>
      <c r="O14" s="39"/>
      <c r="P14" s="39"/>
      <c r="Q14" s="39"/>
      <c r="R14" s="43"/>
      <c r="S14" s="43"/>
      <c r="T14" s="43"/>
      <c r="U14" s="43"/>
      <c r="V14" s="43"/>
      <c r="W14" s="43"/>
    </row>
    <row r="15" spans="3:23" x14ac:dyDescent="0.55000000000000004">
      <c r="C15" s="162">
        <v>10</v>
      </c>
      <c r="D15" s="27">
        <v>2036</v>
      </c>
      <c r="E15" s="155">
        <f t="shared" si="3"/>
        <v>7.8494472406565006</v>
      </c>
      <c r="F15" s="28">
        <f t="shared" si="3"/>
        <v>2865.0482428396231</v>
      </c>
      <c r="G15" s="33">
        <v>0.86</v>
      </c>
      <c r="H15" s="35">
        <f t="shared" si="0"/>
        <v>2463.9414888420756</v>
      </c>
      <c r="I15" s="155">
        <f t="shared" si="4"/>
        <v>425.76400592000607</v>
      </c>
      <c r="J15" s="28">
        <f t="shared" si="1"/>
        <v>155403.86216080221</v>
      </c>
      <c r="K15" s="31">
        <v>2.38</v>
      </c>
      <c r="L15" s="163">
        <f t="shared" si="2"/>
        <v>525202.89255864709</v>
      </c>
      <c r="M15" s="40"/>
      <c r="N15" s="533"/>
      <c r="O15" s="39"/>
      <c r="P15" s="39"/>
      <c r="Q15" s="39"/>
      <c r="R15" s="43"/>
      <c r="S15" s="43"/>
      <c r="T15" s="43"/>
      <c r="U15" s="43"/>
      <c r="V15" s="43"/>
      <c r="W15" s="43"/>
    </row>
    <row r="16" spans="3:23" x14ac:dyDescent="0.55000000000000004">
      <c r="C16" s="162">
        <v>11</v>
      </c>
      <c r="D16" s="27">
        <v>2037</v>
      </c>
      <c r="E16" s="155">
        <f t="shared" si="3"/>
        <v>8.0064361854696315</v>
      </c>
      <c r="F16" s="28">
        <f t="shared" si="3"/>
        <v>2922.3492076964158</v>
      </c>
      <c r="G16" s="33">
        <v>0.86</v>
      </c>
      <c r="H16" s="35">
        <f t="shared" si="0"/>
        <v>2513.2203186189176</v>
      </c>
      <c r="I16" s="155">
        <f t="shared" si="4"/>
        <v>434.27928603840621</v>
      </c>
      <c r="J16" s="28">
        <f t="shared" si="1"/>
        <v>158511.93940401828</v>
      </c>
      <c r="K16" s="31">
        <v>2.38</v>
      </c>
      <c r="L16" s="163">
        <f t="shared" si="2"/>
        <v>535706.95040982019</v>
      </c>
      <c r="M16" s="40"/>
      <c r="N16" s="533"/>
      <c r="O16" s="39"/>
      <c r="P16" s="39"/>
      <c r="Q16" s="39"/>
      <c r="R16" s="43"/>
      <c r="S16" s="43"/>
      <c r="T16" s="43"/>
      <c r="U16" s="43"/>
      <c r="V16" s="43"/>
      <c r="W16" s="43"/>
    </row>
    <row r="17" spans="3:23" x14ac:dyDescent="0.55000000000000004">
      <c r="C17" s="162">
        <v>12</v>
      </c>
      <c r="D17" s="27">
        <v>2038</v>
      </c>
      <c r="E17" s="155">
        <f t="shared" si="3"/>
        <v>8.1665649091790247</v>
      </c>
      <c r="F17" s="28">
        <f t="shared" si="3"/>
        <v>2980.7961918503443</v>
      </c>
      <c r="G17" s="33">
        <v>0.86</v>
      </c>
      <c r="H17" s="35">
        <f t="shared" si="0"/>
        <v>2563.4847249912959</v>
      </c>
      <c r="I17" s="155">
        <f t="shared" si="4"/>
        <v>442.96487175917434</v>
      </c>
      <c r="J17" s="28">
        <f t="shared" si="1"/>
        <v>161682.17819209863</v>
      </c>
      <c r="K17" s="31">
        <v>2.38</v>
      </c>
      <c r="L17" s="163">
        <f t="shared" si="2"/>
        <v>546421.08941801649</v>
      </c>
      <c r="M17" s="40"/>
      <c r="N17" s="533"/>
      <c r="O17" s="39"/>
      <c r="P17" s="39"/>
      <c r="Q17" s="39"/>
      <c r="R17" s="43"/>
      <c r="S17" s="43"/>
      <c r="T17" s="43"/>
      <c r="U17" s="43"/>
      <c r="V17" s="43"/>
      <c r="W17" s="43"/>
    </row>
    <row r="18" spans="3:23" x14ac:dyDescent="0.55000000000000004">
      <c r="C18" s="162">
        <v>13</v>
      </c>
      <c r="D18" s="27">
        <v>2039</v>
      </c>
      <c r="E18" s="155">
        <f t="shared" si="3"/>
        <v>8.3298962073626051</v>
      </c>
      <c r="F18" s="28">
        <f t="shared" si="3"/>
        <v>3040.4121156873512</v>
      </c>
      <c r="G18" s="33">
        <v>0.86</v>
      </c>
      <c r="H18" s="35">
        <f t="shared" si="0"/>
        <v>2614.754419491122</v>
      </c>
      <c r="I18" s="155">
        <f t="shared" si="4"/>
        <v>451.82416919435786</v>
      </c>
      <c r="J18" s="28">
        <f t="shared" si="1"/>
        <v>164915.82175594062</v>
      </c>
      <c r="K18" s="31">
        <v>2.38</v>
      </c>
      <c r="L18" s="163">
        <f t="shared" si="2"/>
        <v>557349.51120637683</v>
      </c>
      <c r="M18" s="40"/>
      <c r="N18" s="533"/>
      <c r="O18" s="39"/>
      <c r="P18" s="39"/>
      <c r="Q18" s="39"/>
      <c r="R18" s="43"/>
      <c r="S18" s="43"/>
      <c r="T18" s="43"/>
      <c r="U18" s="43"/>
      <c r="V18" s="43"/>
      <c r="W18" s="43"/>
    </row>
    <row r="19" spans="3:23" x14ac:dyDescent="0.55000000000000004">
      <c r="C19" s="162">
        <v>14</v>
      </c>
      <c r="D19" s="27">
        <v>2040</v>
      </c>
      <c r="E19" s="155">
        <f t="shared" si="3"/>
        <v>8.4964941315098574</v>
      </c>
      <c r="F19" s="28">
        <f t="shared" si="3"/>
        <v>3101.2203580010982</v>
      </c>
      <c r="G19" s="33">
        <v>0.86</v>
      </c>
      <c r="H19" s="35">
        <f t="shared" si="0"/>
        <v>2667.0495078809445</v>
      </c>
      <c r="I19" s="155">
        <f t="shared" si="4"/>
        <v>460.86065257824504</v>
      </c>
      <c r="J19" s="28">
        <f t="shared" si="1"/>
        <v>168214.13819105944</v>
      </c>
      <c r="K19" s="31">
        <v>2.38</v>
      </c>
      <c r="L19" s="163">
        <f t="shared" si="2"/>
        <v>568496.50143050449</v>
      </c>
      <c r="M19" s="40"/>
      <c r="N19" s="533"/>
      <c r="O19" s="39"/>
      <c r="P19" s="39"/>
      <c r="Q19" s="39"/>
      <c r="R19" s="43"/>
      <c r="S19" s="43"/>
      <c r="T19" s="43"/>
      <c r="U19" s="43"/>
      <c r="V19" s="43"/>
      <c r="W19" s="43"/>
    </row>
    <row r="20" spans="3:23" x14ac:dyDescent="0.55000000000000004">
      <c r="C20" s="162">
        <v>15</v>
      </c>
      <c r="D20" s="27">
        <v>2041</v>
      </c>
      <c r="E20" s="155">
        <f t="shared" si="3"/>
        <v>8.6664240141400555</v>
      </c>
      <c r="F20" s="28">
        <f t="shared" si="3"/>
        <v>3163.2447651611201</v>
      </c>
      <c r="G20" s="33">
        <v>0.86</v>
      </c>
      <c r="H20" s="35">
        <f t="shared" si="0"/>
        <v>2720.3904980385632</v>
      </c>
      <c r="I20" s="155">
        <f t="shared" si="4"/>
        <v>470.07786562980993</v>
      </c>
      <c r="J20" s="28">
        <f t="shared" si="1"/>
        <v>171578.42095488062</v>
      </c>
      <c r="K20" s="31">
        <v>2.38</v>
      </c>
      <c r="L20" s="163">
        <f t="shared" si="2"/>
        <v>579866.43145911442</v>
      </c>
      <c r="M20" s="40"/>
      <c r="N20" s="533"/>
      <c r="O20" s="39"/>
      <c r="P20" s="39"/>
      <c r="Q20" s="39"/>
      <c r="R20" s="43"/>
      <c r="S20" s="43"/>
      <c r="T20" s="43"/>
      <c r="U20" s="43"/>
      <c r="V20" s="43"/>
      <c r="W20" s="43"/>
    </row>
    <row r="21" spans="3:23" x14ac:dyDescent="0.55000000000000004">
      <c r="C21" s="162">
        <v>16</v>
      </c>
      <c r="D21" s="27">
        <v>2042</v>
      </c>
      <c r="E21" s="155">
        <f t="shared" si="3"/>
        <v>8.8397524944228572</v>
      </c>
      <c r="F21" s="28">
        <f t="shared" si="3"/>
        <v>3226.5096604643427</v>
      </c>
      <c r="G21" s="33">
        <v>0.86</v>
      </c>
      <c r="H21" s="35">
        <f t="shared" si="0"/>
        <v>2774.7983079993346</v>
      </c>
      <c r="I21" s="155">
        <f t="shared" si="4"/>
        <v>479.47942294240613</v>
      </c>
      <c r="J21" s="28">
        <f t="shared" si="1"/>
        <v>175009.98937397823</v>
      </c>
      <c r="K21" s="31">
        <v>2.38</v>
      </c>
      <c r="L21" s="163">
        <f t="shared" si="2"/>
        <v>591463.76008829684</v>
      </c>
      <c r="M21" s="40"/>
      <c r="N21" s="533"/>
      <c r="O21" s="39"/>
      <c r="P21" s="39"/>
      <c r="Q21" s="39"/>
      <c r="R21" s="43"/>
      <c r="S21" s="43"/>
      <c r="T21" s="43"/>
      <c r="U21" s="43"/>
      <c r="V21" s="43"/>
      <c r="W21" s="43"/>
    </row>
    <row r="22" spans="3:23" x14ac:dyDescent="0.55000000000000004">
      <c r="C22" s="162">
        <v>17</v>
      </c>
      <c r="D22" s="27">
        <v>2043</v>
      </c>
      <c r="E22" s="155">
        <f t="shared" si="3"/>
        <v>9.0165475443113152</v>
      </c>
      <c r="F22" s="28">
        <f t="shared" si="3"/>
        <v>3291.0398536736298</v>
      </c>
      <c r="G22" s="33">
        <v>0.86</v>
      </c>
      <c r="H22" s="35">
        <f t="shared" si="0"/>
        <v>2830.2942741593215</v>
      </c>
      <c r="I22" s="155">
        <f t="shared" si="4"/>
        <v>489.06901140125427</v>
      </c>
      <c r="J22" s="28">
        <f t="shared" si="1"/>
        <v>178510.18916145782</v>
      </c>
      <c r="K22" s="31">
        <v>2.38</v>
      </c>
      <c r="L22" s="163">
        <f t="shared" si="2"/>
        <v>603293.03529006278</v>
      </c>
      <c r="M22" s="40"/>
      <c r="N22" s="533"/>
      <c r="O22" s="39"/>
      <c r="P22" s="39"/>
      <c r="Q22" s="39"/>
      <c r="R22" s="43"/>
      <c r="S22" s="43"/>
      <c r="T22" s="43"/>
      <c r="U22" s="43"/>
      <c r="V22" s="43"/>
      <c r="W22" s="43"/>
    </row>
    <row r="23" spans="3:23" x14ac:dyDescent="0.55000000000000004">
      <c r="C23" s="162">
        <v>18</v>
      </c>
      <c r="D23" s="27">
        <v>2044</v>
      </c>
      <c r="E23" s="155">
        <f t="shared" si="3"/>
        <v>9.1968784951975415</v>
      </c>
      <c r="F23" s="28">
        <f t="shared" si="3"/>
        <v>3356.8606507471022</v>
      </c>
      <c r="G23" s="33">
        <v>0.86</v>
      </c>
      <c r="H23" s="35">
        <f t="shared" si="0"/>
        <v>2886.9001596425078</v>
      </c>
      <c r="I23" s="155">
        <f t="shared" si="4"/>
        <v>498.85039162927939</v>
      </c>
      <c r="J23" s="28">
        <f t="shared" si="1"/>
        <v>182080.39294468699</v>
      </c>
      <c r="K23" s="31">
        <v>2.38</v>
      </c>
      <c r="L23" s="163">
        <f t="shared" si="2"/>
        <v>615358.89599586406</v>
      </c>
      <c r="M23" s="40"/>
      <c r="N23" s="533"/>
      <c r="O23" s="39"/>
      <c r="P23" s="39"/>
      <c r="Q23" s="39"/>
      <c r="R23" s="43"/>
      <c r="S23" s="43"/>
      <c r="T23" s="43"/>
      <c r="U23" s="43"/>
      <c r="V23" s="43"/>
      <c r="W23" s="43"/>
    </row>
    <row r="24" spans="3:23" x14ac:dyDescent="0.55000000000000004">
      <c r="C24" s="162">
        <v>19</v>
      </c>
      <c r="D24" s="27">
        <v>2045</v>
      </c>
      <c r="E24" s="155">
        <f t="shared" ref="E24:F25" si="5">E23*(1+$E$2)</f>
        <v>9.3808160651014934</v>
      </c>
      <c r="F24" s="28">
        <f t="shared" si="5"/>
        <v>3423.9978637620443</v>
      </c>
      <c r="G24" s="33">
        <v>0.86</v>
      </c>
      <c r="H24" s="35">
        <f t="shared" si="0"/>
        <v>2944.6381628353579</v>
      </c>
      <c r="I24" s="155">
        <f t="shared" si="4"/>
        <v>508.82739946186496</v>
      </c>
      <c r="J24" s="28">
        <f t="shared" si="1"/>
        <v>185722.00080358071</v>
      </c>
      <c r="K24" s="31">
        <v>2.38</v>
      </c>
      <c r="L24" s="163">
        <f t="shared" si="2"/>
        <v>627666.07391578134</v>
      </c>
      <c r="M24" s="40"/>
      <c r="N24" s="533"/>
      <c r="O24" s="39"/>
      <c r="P24" s="39"/>
      <c r="Q24" s="39"/>
      <c r="R24" s="43"/>
      <c r="S24" s="43"/>
      <c r="T24" s="43"/>
      <c r="U24" s="43"/>
      <c r="V24" s="43"/>
      <c r="W24" s="43"/>
    </row>
    <row r="25" spans="3:23" ht="14.7" thickBot="1" x14ac:dyDescent="0.6">
      <c r="C25" s="164">
        <v>20</v>
      </c>
      <c r="D25" s="165">
        <v>2046</v>
      </c>
      <c r="E25" s="166">
        <f t="shared" si="5"/>
        <v>9.5684323864035239</v>
      </c>
      <c r="F25" s="167">
        <f t="shared" si="5"/>
        <v>3492.4778210372851</v>
      </c>
      <c r="G25" s="168">
        <v>0.86</v>
      </c>
      <c r="H25" s="169">
        <f t="shared" si="0"/>
        <v>3003.5309260920653</v>
      </c>
      <c r="I25" s="166">
        <f t="shared" si="4"/>
        <v>519.00394745110225</v>
      </c>
      <c r="J25" s="167">
        <f t="shared" si="1"/>
        <v>189436.44081965231</v>
      </c>
      <c r="K25" s="170">
        <v>2.38</v>
      </c>
      <c r="L25" s="171">
        <f t="shared" si="2"/>
        <v>640219.39539409697</v>
      </c>
      <c r="M25" s="40"/>
      <c r="N25" s="533"/>
      <c r="O25" s="39"/>
      <c r="P25" s="39"/>
      <c r="Q25" s="39"/>
      <c r="R25" s="43"/>
      <c r="S25" s="43"/>
      <c r="T25" s="43"/>
      <c r="U25" s="43"/>
      <c r="V25" s="43"/>
      <c r="W25" s="43"/>
    </row>
    <row r="26" spans="3:23" ht="16.2" thickTop="1" thickBot="1" x14ac:dyDescent="0.65">
      <c r="G26" s="172" t="s">
        <v>176</v>
      </c>
      <c r="H26" s="760">
        <f>SUM(H6:H25)</f>
        <v>50094.27645115905</v>
      </c>
      <c r="I26" s="173"/>
      <c r="J26" s="174"/>
      <c r="K26" s="174"/>
      <c r="L26" s="762">
        <f>SUM(L6:L25)</f>
        <v>10677874.865098936</v>
      </c>
      <c r="M26" s="40"/>
      <c r="N26" s="739">
        <f>H26+L26</f>
        <v>10727969.141550096</v>
      </c>
      <c r="O26" s="39"/>
      <c r="P26" s="39"/>
      <c r="Q26" s="39"/>
      <c r="R26" s="43"/>
      <c r="S26" s="43"/>
      <c r="T26" s="43"/>
      <c r="U26" s="43"/>
      <c r="V26" s="43"/>
      <c r="W26" s="43"/>
    </row>
    <row r="27" spans="3:23" ht="14.7" thickTop="1" x14ac:dyDescent="0.55000000000000004">
      <c r="J27" s="10" t="s">
        <v>96</v>
      </c>
      <c r="M27" s="40"/>
      <c r="N27" s="39"/>
      <c r="O27" s="39"/>
      <c r="P27" s="39"/>
      <c r="Q27" s="39"/>
      <c r="R27" s="43"/>
      <c r="S27" s="43"/>
      <c r="T27" s="43"/>
      <c r="U27" s="43"/>
      <c r="V27" s="43"/>
      <c r="W27" s="43"/>
    </row>
    <row r="28" spans="3:23" x14ac:dyDescent="0.55000000000000004"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spans="3:23" ht="14.7" thickBot="1" x14ac:dyDescent="0.6"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spans="3:23" ht="14.7" thickBot="1" x14ac:dyDescent="0.6">
      <c r="M30" s="22"/>
      <c r="N30" s="22"/>
      <c r="O30" s="22"/>
      <c r="P30" s="22"/>
      <c r="Q30" s="22"/>
      <c r="R30" s="22"/>
      <c r="S30" s="926" t="s">
        <v>372</v>
      </c>
      <c r="T30" s="927"/>
      <c r="U30" s="927"/>
      <c r="V30" s="928"/>
      <c r="W30" s="22"/>
    </row>
    <row r="31" spans="3:23" x14ac:dyDescent="0.55000000000000004">
      <c r="M31" s="22"/>
      <c r="N31" s="22"/>
      <c r="O31" s="22"/>
      <c r="P31" s="22"/>
      <c r="Q31" s="22"/>
      <c r="R31" s="22"/>
      <c r="S31" s="539">
        <v>0.152</v>
      </c>
      <c r="T31" s="705">
        <f>(1-(1/(S32*T32)))/S31</f>
        <v>6.5680663128089352</v>
      </c>
      <c r="U31" s="545" t="s">
        <v>371</v>
      </c>
      <c r="V31" s="542"/>
      <c r="W31" s="22"/>
    </row>
    <row r="32" spans="3:23" x14ac:dyDescent="0.55000000000000004">
      <c r="K32" s="22"/>
      <c r="L32" s="22"/>
      <c r="M32" s="22"/>
      <c r="N32" s="22"/>
      <c r="O32" s="22"/>
      <c r="P32" s="22"/>
      <c r="Q32" s="22"/>
      <c r="R32" s="22"/>
      <c r="S32" s="540">
        <v>0.84799999999999998</v>
      </c>
      <c r="T32" s="547">
        <v>713</v>
      </c>
      <c r="U32" s="23" t="s">
        <v>370</v>
      </c>
      <c r="V32" s="543"/>
      <c r="W32" s="22"/>
    </row>
    <row r="33" spans="1:23" ht="14.7" thickBot="1" x14ac:dyDescent="0.6"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541">
        <f>SUM(S31:S32)</f>
        <v>1</v>
      </c>
      <c r="T33" s="548">
        <f>SUM(T31:T32)</f>
        <v>719.56806631280892</v>
      </c>
      <c r="U33" s="546" t="s">
        <v>25</v>
      </c>
      <c r="V33" s="544"/>
      <c r="W33" s="22"/>
    </row>
    <row r="34" spans="1:23" ht="23.25" customHeight="1" x14ac:dyDescent="0.55000000000000004"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936" t="s">
        <v>425</v>
      </c>
      <c r="T34" s="937"/>
      <c r="U34" s="937"/>
      <c r="V34" s="937"/>
      <c r="W34" s="22"/>
    </row>
    <row r="35" spans="1:23" x14ac:dyDescent="0.55000000000000004"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spans="1:23" x14ac:dyDescent="0.55000000000000004">
      <c r="C36" s="22"/>
      <c r="D36" s="153"/>
      <c r="E36" s="153"/>
      <c r="F36" s="153"/>
      <c r="G36" s="153"/>
      <c r="H36" s="153"/>
      <c r="I36" s="153"/>
      <c r="J36" s="153"/>
      <c r="K36" s="153"/>
      <c r="L36" s="153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</row>
    <row r="37" spans="1:23" x14ac:dyDescent="0.55000000000000004">
      <c r="A37" s="66" t="s">
        <v>127</v>
      </c>
      <c r="B37" s="206" t="s">
        <v>125</v>
      </c>
      <c r="C37" s="206" t="s">
        <v>126</v>
      </c>
      <c r="D37" s="153"/>
      <c r="E37" s="153"/>
      <c r="F37" s="153"/>
      <c r="G37" s="153"/>
      <c r="H37" s="153"/>
      <c r="I37" s="153"/>
      <c r="J37" s="153"/>
      <c r="K37" s="153"/>
      <c r="L37" s="153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</row>
    <row r="38" spans="1:23" x14ac:dyDescent="0.55000000000000004">
      <c r="A38" s="66">
        <v>12.1</v>
      </c>
      <c r="B38" s="206">
        <v>1.78</v>
      </c>
      <c r="C38" s="206">
        <v>1.51</v>
      </c>
      <c r="D38" s="153"/>
      <c r="E38" s="153"/>
      <c r="F38" s="153"/>
      <c r="G38" s="153"/>
      <c r="H38" s="153"/>
      <c r="I38" s="153"/>
      <c r="J38" s="153"/>
      <c r="K38" s="153"/>
      <c r="L38" s="153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</row>
    <row r="39" spans="1:23" x14ac:dyDescent="0.55000000000000004">
      <c r="A39" s="66">
        <v>9.8000000000000007</v>
      </c>
      <c r="B39" s="206">
        <v>1.42</v>
      </c>
      <c r="C39" s="206">
        <v>2.2000000000000002</v>
      </c>
      <c r="D39" s="153"/>
      <c r="E39" s="153"/>
      <c r="F39" s="153"/>
      <c r="G39" s="153"/>
      <c r="H39" s="153"/>
      <c r="I39" s="153"/>
      <c r="J39" s="153"/>
      <c r="K39" s="153"/>
      <c r="L39" s="153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</row>
    <row r="40" spans="1:23" x14ac:dyDescent="0.55000000000000004">
      <c r="B40" s="206"/>
      <c r="C40" s="206">
        <f>SUM(C38:C39)</f>
        <v>3.71</v>
      </c>
      <c r="D40" s="154"/>
      <c r="E40" s="154"/>
      <c r="F40" s="154"/>
      <c r="G40" s="154"/>
      <c r="H40" s="154"/>
      <c r="I40" s="154"/>
      <c r="J40" s="154"/>
      <c r="K40" s="154"/>
      <c r="L40" s="154"/>
    </row>
    <row r="41" spans="1:23" x14ac:dyDescent="0.55000000000000004">
      <c r="C41" s="22"/>
      <c r="D41" s="154"/>
      <c r="E41" s="154"/>
      <c r="F41" s="154"/>
      <c r="G41" s="154"/>
      <c r="H41" s="154"/>
      <c r="I41" s="154"/>
      <c r="J41" s="154"/>
      <c r="K41" s="154"/>
      <c r="L41" s="154"/>
    </row>
    <row r="42" spans="1:23" x14ac:dyDescent="0.55000000000000004">
      <c r="C42" s="154"/>
      <c r="D42" s="154"/>
      <c r="E42" s="154"/>
      <c r="F42" s="154"/>
      <c r="G42" s="154"/>
      <c r="H42" s="154"/>
      <c r="I42" s="154"/>
      <c r="J42" s="154"/>
      <c r="K42" s="154"/>
      <c r="L42" s="154"/>
    </row>
    <row r="43" spans="1:23" x14ac:dyDescent="0.55000000000000004">
      <c r="C43" s="154"/>
      <c r="D43" s="154"/>
      <c r="E43" s="154"/>
      <c r="F43" s="154"/>
      <c r="G43" s="154"/>
      <c r="H43" s="154"/>
      <c r="I43" s="154"/>
      <c r="J43" s="154"/>
      <c r="K43" s="154"/>
      <c r="L43" s="154"/>
    </row>
    <row r="44" spans="1:23" x14ac:dyDescent="0.55000000000000004">
      <c r="C44" s="154"/>
      <c r="D44" s="154"/>
      <c r="E44" s="154"/>
      <c r="F44" s="154"/>
      <c r="G44" s="154"/>
      <c r="H44" s="154"/>
      <c r="I44" s="154"/>
      <c r="J44" s="154"/>
      <c r="K44" s="154"/>
      <c r="L44" s="154"/>
    </row>
    <row r="45" spans="1:23" x14ac:dyDescent="0.55000000000000004">
      <c r="C45" s="154"/>
      <c r="D45" s="154"/>
      <c r="E45" s="154"/>
      <c r="F45" s="154"/>
      <c r="G45" s="154"/>
      <c r="H45" s="154"/>
      <c r="I45" s="154"/>
      <c r="J45" s="154"/>
      <c r="K45" s="154"/>
      <c r="L45" s="154"/>
    </row>
    <row r="46" spans="1:23" x14ac:dyDescent="0.55000000000000004">
      <c r="C46" s="154"/>
      <c r="D46" s="154"/>
      <c r="E46" s="154"/>
      <c r="F46" s="154"/>
      <c r="G46" s="154"/>
      <c r="H46" s="154"/>
      <c r="I46" s="154"/>
      <c r="J46" s="154"/>
      <c r="K46" s="154"/>
      <c r="L46" s="154"/>
    </row>
    <row r="47" spans="1:23" x14ac:dyDescent="0.55000000000000004">
      <c r="C47" s="154"/>
      <c r="D47" s="154"/>
      <c r="E47" s="154"/>
      <c r="F47" s="154"/>
      <c r="G47" s="154"/>
      <c r="H47" s="154"/>
      <c r="I47" s="154"/>
      <c r="J47" s="154"/>
      <c r="K47" s="154"/>
      <c r="L47" s="154"/>
    </row>
    <row r="48" spans="1:23" x14ac:dyDescent="0.55000000000000004">
      <c r="C48" s="154"/>
      <c r="D48" s="154"/>
      <c r="E48" s="154"/>
      <c r="F48" s="154"/>
      <c r="G48" s="154"/>
      <c r="H48" s="154"/>
      <c r="I48" s="154"/>
      <c r="J48" s="154"/>
      <c r="K48" s="154"/>
      <c r="L48" s="154"/>
    </row>
    <row r="49" spans="3:12" x14ac:dyDescent="0.55000000000000004">
      <c r="C49" s="154"/>
      <c r="D49" s="154"/>
      <c r="E49" s="154"/>
      <c r="F49" s="154"/>
      <c r="G49" s="154"/>
      <c r="H49" s="154"/>
      <c r="I49" s="154"/>
      <c r="J49" s="154"/>
      <c r="K49" s="154"/>
      <c r="L49" s="154"/>
    </row>
    <row r="50" spans="3:12" x14ac:dyDescent="0.55000000000000004">
      <c r="C50" s="154"/>
      <c r="D50" s="154"/>
      <c r="E50" s="154"/>
      <c r="F50" s="154"/>
      <c r="G50" s="154"/>
      <c r="H50" s="154"/>
      <c r="I50" s="154"/>
      <c r="J50" s="154"/>
      <c r="K50" s="154"/>
      <c r="L50" s="154"/>
    </row>
    <row r="51" spans="3:12" x14ac:dyDescent="0.55000000000000004">
      <c r="C51" s="154"/>
      <c r="D51" s="154"/>
      <c r="E51" s="154"/>
      <c r="F51" s="154"/>
      <c r="G51" s="154"/>
      <c r="H51" s="154"/>
      <c r="I51" s="154"/>
      <c r="J51" s="154"/>
      <c r="K51" s="154"/>
      <c r="L51" s="154"/>
    </row>
    <row r="52" spans="3:12" x14ac:dyDescent="0.55000000000000004">
      <c r="C52" s="154"/>
      <c r="D52" s="154"/>
      <c r="E52" s="154"/>
      <c r="F52" s="154"/>
      <c r="G52" s="154"/>
      <c r="H52" s="154"/>
      <c r="I52" s="154"/>
      <c r="J52" s="154"/>
      <c r="K52" s="154"/>
      <c r="L52" s="154"/>
    </row>
    <row r="53" spans="3:12" x14ac:dyDescent="0.55000000000000004">
      <c r="C53" s="154"/>
      <c r="D53" s="154"/>
      <c r="E53" s="154"/>
      <c r="F53" s="154"/>
      <c r="G53" s="154"/>
      <c r="H53" s="154"/>
      <c r="I53" s="154"/>
      <c r="J53" s="154"/>
      <c r="K53" s="154"/>
      <c r="L53" s="154"/>
    </row>
    <row r="54" spans="3:12" x14ac:dyDescent="0.55000000000000004">
      <c r="C54" s="154"/>
      <c r="D54" s="154"/>
      <c r="E54" s="154"/>
      <c r="F54" s="154"/>
      <c r="G54" s="154"/>
      <c r="H54" s="154"/>
      <c r="I54" s="154"/>
      <c r="J54" s="154"/>
      <c r="K54" s="154"/>
      <c r="L54" s="154"/>
    </row>
    <row r="55" spans="3:12" x14ac:dyDescent="0.55000000000000004">
      <c r="C55" s="154"/>
      <c r="D55" s="154"/>
      <c r="E55" s="154"/>
      <c r="F55" s="154"/>
      <c r="G55" s="154"/>
      <c r="H55" s="154"/>
      <c r="I55" s="154"/>
      <c r="J55" s="154"/>
      <c r="K55" s="154"/>
      <c r="L55" s="154"/>
    </row>
  </sheetData>
  <mergeCells count="8">
    <mergeCell ref="S34:V34"/>
    <mergeCell ref="S30:V30"/>
    <mergeCell ref="P4:R4"/>
    <mergeCell ref="C1:E1"/>
    <mergeCell ref="J1:L1"/>
    <mergeCell ref="C2:D2"/>
    <mergeCell ref="J2:K2"/>
    <mergeCell ref="C4:L4"/>
  </mergeCells>
  <pageMargins left="0.7" right="0.7" top="0.75" bottom="0.75" header="0.3" footer="0.3"/>
  <pageSetup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8703B-A714-467A-A361-DDF1A7A3FB6F}">
  <sheetPr>
    <tabColor theme="0" tint="-0.249977111117893"/>
  </sheetPr>
  <dimension ref="A1:W55"/>
  <sheetViews>
    <sheetView workbookViewId="0"/>
  </sheetViews>
  <sheetFormatPr defaultRowHeight="14.4" x14ac:dyDescent="0.55000000000000004"/>
  <cols>
    <col min="1" max="1" width="10.41796875" bestFit="1" customWidth="1"/>
    <col min="3" max="4" width="14.15625" customWidth="1"/>
    <col min="5" max="5" width="12.41796875" customWidth="1"/>
    <col min="6" max="6" width="19" customWidth="1"/>
    <col min="7" max="7" width="16.41796875" customWidth="1"/>
    <col min="8" max="8" width="13.578125" customWidth="1"/>
    <col min="9" max="9" width="12.41796875" customWidth="1"/>
    <col min="10" max="10" width="16" customWidth="1"/>
    <col min="11" max="11" width="15.26171875" customWidth="1"/>
    <col min="12" max="12" width="17.41796875" customWidth="1"/>
    <col min="14" max="14" width="10.15625" bestFit="1" customWidth="1"/>
    <col min="20" max="20" width="28.578125" customWidth="1"/>
  </cols>
  <sheetData>
    <row r="1" spans="3:23" ht="14.7" thickBot="1" x14ac:dyDescent="0.6">
      <c r="C1" s="933" t="s">
        <v>172</v>
      </c>
      <c r="D1" s="934"/>
      <c r="E1" s="935"/>
      <c r="J1" s="933" t="s">
        <v>173</v>
      </c>
      <c r="K1" s="934"/>
      <c r="L1" s="935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3:23" x14ac:dyDescent="0.55000000000000004">
      <c r="C2" s="931" t="s">
        <v>167</v>
      </c>
      <c r="D2" s="932"/>
      <c r="E2" s="156">
        <v>0.02</v>
      </c>
      <c r="J2" s="931" t="s">
        <v>169</v>
      </c>
      <c r="K2" s="932"/>
      <c r="L2" s="156">
        <v>0.02</v>
      </c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3:23" ht="14.7" thickBot="1" x14ac:dyDescent="0.6">
      <c r="C3" s="157" t="s">
        <v>168</v>
      </c>
      <c r="D3" s="159"/>
      <c r="E3" s="759">
        <f>'TRIP GENERATION'!E95+'TRIP GENERATION'!E92+'TRIP GENERATION'!E93</f>
        <v>615.73222879999992</v>
      </c>
      <c r="J3" s="157" t="s">
        <v>170</v>
      </c>
      <c r="K3" s="159"/>
      <c r="L3" s="761">
        <f>'TRIP GENERATION'!E88+'TRIP GENERATION'!E98+'TRIP GENERATION'!E100</f>
        <v>301.10539339999997</v>
      </c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</row>
    <row r="4" spans="3:23" ht="15" thickTop="1" thickBot="1" x14ac:dyDescent="0.6">
      <c r="C4" s="922" t="s">
        <v>264</v>
      </c>
      <c r="D4" s="923"/>
      <c r="E4" s="923"/>
      <c r="F4" s="923"/>
      <c r="G4" s="923"/>
      <c r="H4" s="923"/>
      <c r="I4" s="923"/>
      <c r="J4" s="923"/>
      <c r="K4" s="923"/>
      <c r="L4" s="924"/>
      <c r="M4" s="19"/>
      <c r="N4" s="19"/>
      <c r="O4" s="19"/>
      <c r="P4" s="916"/>
      <c r="Q4" s="916"/>
      <c r="R4" s="916"/>
      <c r="S4" s="19"/>
      <c r="T4" s="19"/>
      <c r="U4" s="19"/>
      <c r="V4" s="19"/>
      <c r="W4" s="19"/>
    </row>
    <row r="5" spans="3:23" ht="58.2" thickTop="1" thickBot="1" x14ac:dyDescent="0.6">
      <c r="C5" s="160" t="s">
        <v>4</v>
      </c>
      <c r="D5" s="32" t="s">
        <v>2</v>
      </c>
      <c r="E5" s="46" t="s">
        <v>171</v>
      </c>
      <c r="F5" s="46" t="s">
        <v>174</v>
      </c>
      <c r="G5" s="46" t="s">
        <v>90</v>
      </c>
      <c r="H5" s="46" t="s">
        <v>92</v>
      </c>
      <c r="I5" s="45" t="s">
        <v>170</v>
      </c>
      <c r="J5" s="45" t="s">
        <v>175</v>
      </c>
      <c r="K5" s="36" t="s">
        <v>91</v>
      </c>
      <c r="L5" s="161" t="s">
        <v>93</v>
      </c>
      <c r="M5" s="19"/>
      <c r="N5" s="531" t="s">
        <v>176</v>
      </c>
      <c r="O5" s="19"/>
      <c r="P5" s="37"/>
      <c r="Q5" s="37"/>
      <c r="R5" s="37"/>
      <c r="S5" s="19"/>
      <c r="T5" s="19"/>
      <c r="U5" s="19"/>
      <c r="V5" s="19"/>
      <c r="W5" s="19"/>
    </row>
    <row r="6" spans="3:23" ht="15" thickTop="1" thickBot="1" x14ac:dyDescent="0.6">
      <c r="C6" s="162">
        <v>1</v>
      </c>
      <c r="D6" s="27">
        <v>2027</v>
      </c>
      <c r="E6" s="155">
        <f>E3</f>
        <v>615.73222879999992</v>
      </c>
      <c r="F6" s="28">
        <f>E6*365</f>
        <v>224742.26351199998</v>
      </c>
      <c r="G6" s="33">
        <v>0.86</v>
      </c>
      <c r="H6" s="35">
        <f>F6*G6</f>
        <v>193278.34662031996</v>
      </c>
      <c r="I6" s="155">
        <f>$L$3</f>
        <v>301.10539339999997</v>
      </c>
      <c r="J6" s="28">
        <f>I6*365</f>
        <v>109903.46859099998</v>
      </c>
      <c r="K6" s="31">
        <v>2.38</v>
      </c>
      <c r="L6" s="163">
        <f>J6*K6*1.42</f>
        <v>371429.76245014352</v>
      </c>
      <c r="M6" s="19"/>
      <c r="N6" s="534">
        <f>H6+L6</f>
        <v>564708.10907046346</v>
      </c>
      <c r="O6" s="19"/>
      <c r="P6" s="19"/>
      <c r="Q6" s="19"/>
      <c r="R6" s="19"/>
      <c r="S6" s="19"/>
      <c r="T6" s="19"/>
      <c r="U6" s="19"/>
      <c r="V6" s="19"/>
      <c r="W6" s="19"/>
    </row>
    <row r="7" spans="3:23" ht="14.7" thickTop="1" x14ac:dyDescent="0.55000000000000004">
      <c r="C7" s="162">
        <v>2</v>
      </c>
      <c r="D7" s="27">
        <v>2028</v>
      </c>
      <c r="E7" s="155">
        <f>E6*(1+$E$2)</f>
        <v>628.04687337599989</v>
      </c>
      <c r="F7" s="28">
        <f>F6*(1+$E$2)</f>
        <v>229237.10878223999</v>
      </c>
      <c r="G7" s="33">
        <v>0.86</v>
      </c>
      <c r="H7" s="35">
        <f t="shared" ref="H7:H25" si="0">F7*G7</f>
        <v>197143.91355272639</v>
      </c>
      <c r="I7" s="155">
        <f>I6*(1+$L$2)</f>
        <v>307.12750126799995</v>
      </c>
      <c r="J7" s="28">
        <f t="shared" ref="J7:J25" si="1">I7*365</f>
        <v>112101.53796281997</v>
      </c>
      <c r="K7" s="31">
        <v>2.38</v>
      </c>
      <c r="L7" s="163">
        <f t="shared" ref="L7:L25" si="2">J7*K7*1.42</f>
        <v>378858.35769914632</v>
      </c>
      <c r="M7" s="19"/>
      <c r="N7" s="532"/>
      <c r="O7" s="19"/>
      <c r="P7" s="19"/>
      <c r="Q7" s="19"/>
      <c r="R7" s="19"/>
      <c r="S7" s="19"/>
      <c r="T7" s="19"/>
      <c r="U7" s="19"/>
      <c r="V7" s="19"/>
      <c r="W7" s="19"/>
    </row>
    <row r="8" spans="3:23" x14ac:dyDescent="0.55000000000000004">
      <c r="C8" s="162">
        <v>3</v>
      </c>
      <c r="D8" s="27">
        <v>2029</v>
      </c>
      <c r="E8" s="155">
        <f t="shared" ref="E8:F23" si="3">E7*(1+$E$2)</f>
        <v>640.60781084351993</v>
      </c>
      <c r="F8" s="28">
        <f t="shared" si="3"/>
        <v>233821.8509578848</v>
      </c>
      <c r="G8" s="33">
        <v>0.86</v>
      </c>
      <c r="H8" s="35">
        <f t="shared" si="0"/>
        <v>201086.79182378092</v>
      </c>
      <c r="I8" s="155">
        <f t="shared" ref="I8:I25" si="4">I7*(1+$L$2)</f>
        <v>313.27005129335993</v>
      </c>
      <c r="J8" s="28">
        <f t="shared" si="1"/>
        <v>114343.56872207638</v>
      </c>
      <c r="K8" s="31">
        <v>2.38</v>
      </c>
      <c r="L8" s="163">
        <f t="shared" si="2"/>
        <v>386435.52485312929</v>
      </c>
      <c r="M8" s="19"/>
      <c r="N8" s="532"/>
      <c r="O8" s="19"/>
      <c r="P8" s="19"/>
      <c r="Q8" s="19"/>
      <c r="R8" s="19"/>
      <c r="S8" s="19"/>
      <c r="T8" s="19"/>
      <c r="U8" s="19"/>
      <c r="V8" s="19"/>
      <c r="W8" s="19"/>
    </row>
    <row r="9" spans="3:23" x14ac:dyDescent="0.55000000000000004">
      <c r="C9" s="162">
        <v>4</v>
      </c>
      <c r="D9" s="27">
        <v>2030</v>
      </c>
      <c r="E9" s="155">
        <f t="shared" si="3"/>
        <v>653.41996706039038</v>
      </c>
      <c r="F9" s="28">
        <f t="shared" si="3"/>
        <v>238498.28797704249</v>
      </c>
      <c r="G9" s="33">
        <v>0.86</v>
      </c>
      <c r="H9" s="35">
        <f t="shared" si="0"/>
        <v>205108.52766025654</v>
      </c>
      <c r="I9" s="155">
        <f t="shared" si="4"/>
        <v>319.53545231922715</v>
      </c>
      <c r="J9" s="28">
        <f t="shared" si="1"/>
        <v>116630.44009651791</v>
      </c>
      <c r="K9" s="31">
        <v>2.38</v>
      </c>
      <c r="L9" s="163">
        <f t="shared" si="2"/>
        <v>394164.23535019194</v>
      </c>
      <c r="M9" s="42"/>
      <c r="N9" s="532"/>
      <c r="O9" s="42"/>
      <c r="P9" s="42"/>
      <c r="Q9" s="42"/>
      <c r="R9" s="19"/>
      <c r="S9" s="19"/>
      <c r="T9" s="19"/>
      <c r="U9" s="19"/>
      <c r="V9" s="19"/>
      <c r="W9" s="19"/>
    </row>
    <row r="10" spans="3:23" x14ac:dyDescent="0.55000000000000004">
      <c r="C10" s="162">
        <v>5</v>
      </c>
      <c r="D10" s="27">
        <v>2031</v>
      </c>
      <c r="E10" s="155">
        <f t="shared" si="3"/>
        <v>666.48836640159823</v>
      </c>
      <c r="F10" s="28">
        <f t="shared" si="3"/>
        <v>243268.25373658334</v>
      </c>
      <c r="G10" s="33">
        <v>0.86</v>
      </c>
      <c r="H10" s="35">
        <f t="shared" si="0"/>
        <v>209210.69821346167</v>
      </c>
      <c r="I10" s="155">
        <f t="shared" si="4"/>
        <v>325.92616136561168</v>
      </c>
      <c r="J10" s="28">
        <f t="shared" si="1"/>
        <v>118963.04889844827</v>
      </c>
      <c r="K10" s="31">
        <v>2.38</v>
      </c>
      <c r="L10" s="163">
        <f t="shared" si="2"/>
        <v>402047.52005719574</v>
      </c>
      <c r="M10" s="41"/>
      <c r="N10" s="532"/>
      <c r="O10" s="41"/>
      <c r="P10" s="41"/>
      <c r="Q10" s="41"/>
      <c r="R10" s="19"/>
      <c r="S10" s="19"/>
      <c r="T10" s="19"/>
      <c r="U10" s="19"/>
      <c r="V10" s="19"/>
      <c r="W10" s="19"/>
    </row>
    <row r="11" spans="3:23" x14ac:dyDescent="0.55000000000000004">
      <c r="C11" s="162">
        <v>6</v>
      </c>
      <c r="D11" s="27">
        <v>2032</v>
      </c>
      <c r="E11" s="155">
        <f t="shared" si="3"/>
        <v>679.81813372963018</v>
      </c>
      <c r="F11" s="28">
        <f t="shared" si="3"/>
        <v>248133.61881131501</v>
      </c>
      <c r="G11" s="33">
        <v>0.86</v>
      </c>
      <c r="H11" s="35">
        <f t="shared" si="0"/>
        <v>213394.9121777309</v>
      </c>
      <c r="I11" s="155">
        <f t="shared" si="4"/>
        <v>332.44468459292392</v>
      </c>
      <c r="J11" s="28">
        <f t="shared" si="1"/>
        <v>121342.30987641723</v>
      </c>
      <c r="K11" s="31">
        <v>2.38</v>
      </c>
      <c r="L11" s="163">
        <f t="shared" si="2"/>
        <v>410088.47045833961</v>
      </c>
      <c r="M11" s="41"/>
      <c r="N11" s="532"/>
      <c r="O11" s="37"/>
      <c r="P11" s="37"/>
      <c r="Q11" s="37"/>
      <c r="R11" s="19"/>
      <c r="S11" s="19"/>
      <c r="T11" s="19"/>
      <c r="U11" s="19"/>
      <c r="V11" s="19"/>
      <c r="W11" s="19"/>
    </row>
    <row r="12" spans="3:23" x14ac:dyDescent="0.55000000000000004">
      <c r="C12" s="162">
        <v>7</v>
      </c>
      <c r="D12" s="27">
        <v>2033</v>
      </c>
      <c r="E12" s="155">
        <f t="shared" si="3"/>
        <v>693.41449640422275</v>
      </c>
      <c r="F12" s="28">
        <f t="shared" si="3"/>
        <v>253096.29118754133</v>
      </c>
      <c r="G12" s="33">
        <v>0.86</v>
      </c>
      <c r="H12" s="35">
        <f t="shared" si="0"/>
        <v>217662.81042128554</v>
      </c>
      <c r="I12" s="155">
        <f t="shared" si="4"/>
        <v>339.09357828478238</v>
      </c>
      <c r="J12" s="28">
        <f t="shared" si="1"/>
        <v>123769.15607394557</v>
      </c>
      <c r="K12" s="31">
        <v>2.38</v>
      </c>
      <c r="L12" s="163">
        <f t="shared" si="2"/>
        <v>418290.23986750643</v>
      </c>
      <c r="M12" s="38"/>
      <c r="N12" s="533"/>
      <c r="O12" s="39"/>
      <c r="P12" s="39"/>
      <c r="Q12" s="39"/>
      <c r="R12" s="44"/>
      <c r="S12" s="44"/>
      <c r="T12" s="44"/>
      <c r="U12" s="44"/>
      <c r="V12" s="44"/>
      <c r="W12" s="44"/>
    </row>
    <row r="13" spans="3:23" ht="14.5" customHeight="1" x14ac:dyDescent="0.55000000000000004">
      <c r="C13" s="162">
        <v>8</v>
      </c>
      <c r="D13" s="27">
        <v>2034</v>
      </c>
      <c r="E13" s="155">
        <f t="shared" si="3"/>
        <v>707.28278633230718</v>
      </c>
      <c r="F13" s="28">
        <f t="shared" si="3"/>
        <v>258158.21701129214</v>
      </c>
      <c r="G13" s="33">
        <v>0.86</v>
      </c>
      <c r="H13" s="35">
        <f t="shared" si="0"/>
        <v>222016.06662971125</v>
      </c>
      <c r="I13" s="155">
        <f t="shared" si="4"/>
        <v>345.87544985047805</v>
      </c>
      <c r="J13" s="28">
        <f t="shared" si="1"/>
        <v>126244.53919542448</v>
      </c>
      <c r="K13" s="31">
        <v>2.38</v>
      </c>
      <c r="L13" s="163">
        <f t="shared" si="2"/>
        <v>426656.04466485657</v>
      </c>
      <c r="M13" s="40"/>
      <c r="N13" s="533"/>
      <c r="O13" s="39"/>
      <c r="P13" s="39"/>
      <c r="Q13" s="39"/>
      <c r="R13" s="43"/>
      <c r="S13" s="43"/>
      <c r="T13" s="43"/>
      <c r="U13" s="43"/>
      <c r="V13" s="43"/>
      <c r="W13" s="43"/>
    </row>
    <row r="14" spans="3:23" x14ac:dyDescent="0.55000000000000004">
      <c r="C14" s="162">
        <v>9</v>
      </c>
      <c r="D14" s="27">
        <v>2035</v>
      </c>
      <c r="E14" s="155">
        <f t="shared" si="3"/>
        <v>721.42844205895335</v>
      </c>
      <c r="F14" s="28">
        <f t="shared" si="3"/>
        <v>263321.38135151798</v>
      </c>
      <c r="G14" s="33">
        <v>0.86</v>
      </c>
      <c r="H14" s="35">
        <f t="shared" si="0"/>
        <v>226456.38796230545</v>
      </c>
      <c r="I14" s="155">
        <f t="shared" si="4"/>
        <v>352.79295884748763</v>
      </c>
      <c r="J14" s="28">
        <f t="shared" si="1"/>
        <v>128769.42997933298</v>
      </c>
      <c r="K14" s="31">
        <v>2.38</v>
      </c>
      <c r="L14" s="163">
        <f t="shared" si="2"/>
        <v>435189.16555815371</v>
      </c>
      <c r="M14" s="40"/>
      <c r="N14" s="533"/>
      <c r="O14" s="39"/>
      <c r="P14" s="39"/>
      <c r="Q14" s="39"/>
      <c r="R14" s="43"/>
      <c r="S14" s="43"/>
      <c r="T14" s="43"/>
      <c r="U14" s="43"/>
      <c r="V14" s="43"/>
      <c r="W14" s="43"/>
    </row>
    <row r="15" spans="3:23" x14ac:dyDescent="0.55000000000000004">
      <c r="C15" s="162">
        <v>10</v>
      </c>
      <c r="D15" s="27">
        <v>2036</v>
      </c>
      <c r="E15" s="155">
        <f t="shared" si="3"/>
        <v>735.85701090013242</v>
      </c>
      <c r="F15" s="28">
        <f t="shared" si="3"/>
        <v>268587.80897854833</v>
      </c>
      <c r="G15" s="33">
        <v>0.86</v>
      </c>
      <c r="H15" s="35">
        <f t="shared" si="0"/>
        <v>230985.51572155155</v>
      </c>
      <c r="I15" s="155">
        <f t="shared" si="4"/>
        <v>359.84881802443738</v>
      </c>
      <c r="J15" s="28">
        <f t="shared" si="1"/>
        <v>131344.81857891963</v>
      </c>
      <c r="K15" s="31">
        <v>2.38</v>
      </c>
      <c r="L15" s="163">
        <f t="shared" si="2"/>
        <v>443892.94886931678</v>
      </c>
      <c r="M15" s="40"/>
      <c r="N15" s="533"/>
      <c r="O15" s="39"/>
      <c r="P15" s="39"/>
      <c r="Q15" s="39"/>
      <c r="R15" s="43"/>
      <c r="S15" s="43"/>
      <c r="T15" s="43"/>
      <c r="U15" s="43"/>
      <c r="V15" s="43"/>
      <c r="W15" s="43"/>
    </row>
    <row r="16" spans="3:23" x14ac:dyDescent="0.55000000000000004">
      <c r="C16" s="162">
        <v>11</v>
      </c>
      <c r="D16" s="27">
        <v>2037</v>
      </c>
      <c r="E16" s="155">
        <f t="shared" si="3"/>
        <v>750.57415111813509</v>
      </c>
      <c r="F16" s="28">
        <f t="shared" si="3"/>
        <v>273959.56515811931</v>
      </c>
      <c r="G16" s="33">
        <v>0.86</v>
      </c>
      <c r="H16" s="35">
        <f t="shared" si="0"/>
        <v>235605.2260359826</v>
      </c>
      <c r="I16" s="155">
        <f t="shared" si="4"/>
        <v>367.04579438492613</v>
      </c>
      <c r="J16" s="28">
        <f t="shared" si="1"/>
        <v>133971.71495049805</v>
      </c>
      <c r="K16" s="31">
        <v>2.38</v>
      </c>
      <c r="L16" s="163">
        <f t="shared" si="2"/>
        <v>452770.80784670316</v>
      </c>
      <c r="M16" s="40"/>
      <c r="N16" s="533"/>
      <c r="O16" s="39"/>
      <c r="P16" s="39"/>
      <c r="Q16" s="39"/>
      <c r="R16" s="43"/>
      <c r="S16" s="43"/>
      <c r="T16" s="43"/>
      <c r="U16" s="43"/>
      <c r="V16" s="43"/>
      <c r="W16" s="43"/>
    </row>
    <row r="17" spans="1:23" x14ac:dyDescent="0.55000000000000004">
      <c r="C17" s="162">
        <v>12</v>
      </c>
      <c r="D17" s="27">
        <v>2038</v>
      </c>
      <c r="E17" s="155">
        <f t="shared" si="3"/>
        <v>765.58563414049786</v>
      </c>
      <c r="F17" s="28">
        <f t="shared" si="3"/>
        <v>279438.75646128168</v>
      </c>
      <c r="G17" s="33">
        <v>0.86</v>
      </c>
      <c r="H17" s="35">
        <f t="shared" si="0"/>
        <v>240317.33055670225</v>
      </c>
      <c r="I17" s="155">
        <f t="shared" si="4"/>
        <v>374.38671027262467</v>
      </c>
      <c r="J17" s="28">
        <f t="shared" si="1"/>
        <v>136651.14924950802</v>
      </c>
      <c r="K17" s="31">
        <v>2.38</v>
      </c>
      <c r="L17" s="163">
        <f t="shared" si="2"/>
        <v>461826.22400363727</v>
      </c>
      <c r="M17" s="40"/>
      <c r="N17" s="533"/>
      <c r="O17" s="39"/>
      <c r="P17" s="39"/>
      <c r="Q17" s="39"/>
      <c r="R17" s="43"/>
      <c r="S17" s="43"/>
      <c r="T17" s="43"/>
      <c r="U17" s="43"/>
      <c r="V17" s="43"/>
      <c r="W17" s="43"/>
    </row>
    <row r="18" spans="1:23" x14ac:dyDescent="0.55000000000000004">
      <c r="C18" s="162">
        <v>13</v>
      </c>
      <c r="D18" s="27">
        <v>2039</v>
      </c>
      <c r="E18" s="155">
        <f t="shared" si="3"/>
        <v>780.89734682330788</v>
      </c>
      <c r="F18" s="28">
        <f t="shared" si="3"/>
        <v>285027.53159050731</v>
      </c>
      <c r="G18" s="33">
        <v>0.86</v>
      </c>
      <c r="H18" s="35">
        <f t="shared" si="0"/>
        <v>245123.67716783629</v>
      </c>
      <c r="I18" s="155">
        <f t="shared" si="4"/>
        <v>381.87444447807718</v>
      </c>
      <c r="J18" s="28">
        <f t="shared" si="1"/>
        <v>139384.17223449817</v>
      </c>
      <c r="K18" s="31">
        <v>2.38</v>
      </c>
      <c r="L18" s="163">
        <f t="shared" si="2"/>
        <v>471062.74848370993</v>
      </c>
      <c r="M18" s="40"/>
      <c r="N18" s="533"/>
      <c r="O18" s="39"/>
      <c r="P18" s="39"/>
      <c r="Q18" s="39"/>
      <c r="R18" s="43"/>
      <c r="S18" s="43"/>
      <c r="T18" s="43"/>
      <c r="U18" s="43"/>
      <c r="V18" s="43"/>
      <c r="W18" s="43"/>
    </row>
    <row r="19" spans="1:23" x14ac:dyDescent="0.55000000000000004">
      <c r="C19" s="162">
        <v>14</v>
      </c>
      <c r="D19" s="27">
        <v>2040</v>
      </c>
      <c r="E19" s="155">
        <f t="shared" si="3"/>
        <v>796.51529375977407</v>
      </c>
      <c r="F19" s="28">
        <f t="shared" si="3"/>
        <v>290728.08222231746</v>
      </c>
      <c r="G19" s="33">
        <v>0.86</v>
      </c>
      <c r="H19" s="35">
        <f t="shared" si="0"/>
        <v>250026.15071119301</v>
      </c>
      <c r="I19" s="155">
        <f t="shared" si="4"/>
        <v>389.51193336763873</v>
      </c>
      <c r="J19" s="28">
        <f t="shared" si="1"/>
        <v>142171.85567918813</v>
      </c>
      <c r="K19" s="31">
        <v>2.38</v>
      </c>
      <c r="L19" s="163">
        <f t="shared" si="2"/>
        <v>480484.00345338415</v>
      </c>
      <c r="M19" s="40"/>
      <c r="N19" s="533"/>
      <c r="O19" s="39"/>
      <c r="P19" s="39"/>
      <c r="Q19" s="39"/>
      <c r="R19" s="43"/>
      <c r="S19" s="43"/>
      <c r="T19" s="43"/>
      <c r="U19" s="43"/>
      <c r="V19" s="43"/>
      <c r="W19" s="43"/>
    </row>
    <row r="20" spans="1:23" x14ac:dyDescent="0.55000000000000004">
      <c r="C20" s="162">
        <v>15</v>
      </c>
      <c r="D20" s="27">
        <v>2041</v>
      </c>
      <c r="E20" s="155">
        <f t="shared" si="3"/>
        <v>812.44559963496954</v>
      </c>
      <c r="F20" s="28">
        <f t="shared" si="3"/>
        <v>296542.6438667638</v>
      </c>
      <c r="G20" s="33">
        <v>0.86</v>
      </c>
      <c r="H20" s="35">
        <f t="shared" si="0"/>
        <v>255026.67372541685</v>
      </c>
      <c r="I20" s="155">
        <f t="shared" si="4"/>
        <v>397.30217203499154</v>
      </c>
      <c r="J20" s="28">
        <f t="shared" si="1"/>
        <v>145015.29279277191</v>
      </c>
      <c r="K20" s="31">
        <v>2.38</v>
      </c>
      <c r="L20" s="163">
        <f t="shared" si="2"/>
        <v>490093.6835224519</v>
      </c>
      <c r="M20" s="40"/>
      <c r="N20" s="533"/>
      <c r="O20" s="39"/>
      <c r="P20" s="39"/>
      <c r="Q20" s="39"/>
      <c r="R20" s="43"/>
      <c r="S20" s="43"/>
      <c r="T20" s="43"/>
      <c r="U20" s="43"/>
      <c r="V20" s="43"/>
      <c r="W20" s="43"/>
    </row>
    <row r="21" spans="1:23" x14ac:dyDescent="0.55000000000000004">
      <c r="C21" s="162">
        <v>16</v>
      </c>
      <c r="D21" s="27">
        <v>2042</v>
      </c>
      <c r="E21" s="155">
        <f t="shared" si="3"/>
        <v>828.69451162766893</v>
      </c>
      <c r="F21" s="28">
        <f t="shared" si="3"/>
        <v>302473.49674409907</v>
      </c>
      <c r="G21" s="33">
        <v>0.86</v>
      </c>
      <c r="H21" s="35">
        <f t="shared" si="0"/>
        <v>260127.20719992521</v>
      </c>
      <c r="I21" s="155">
        <f t="shared" si="4"/>
        <v>405.24821547569138</v>
      </c>
      <c r="J21" s="28">
        <f t="shared" si="1"/>
        <v>147915.59864862735</v>
      </c>
      <c r="K21" s="31">
        <v>2.38</v>
      </c>
      <c r="L21" s="163">
        <f t="shared" si="2"/>
        <v>499895.55719290092</v>
      </c>
      <c r="M21" s="40"/>
      <c r="N21" s="533"/>
      <c r="O21" s="39"/>
      <c r="P21" s="39"/>
      <c r="Q21" s="39"/>
      <c r="R21" s="43"/>
      <c r="S21" s="43"/>
      <c r="T21" s="43"/>
      <c r="U21" s="43"/>
      <c r="V21" s="43"/>
      <c r="W21" s="43"/>
    </row>
    <row r="22" spans="1:23" x14ac:dyDescent="0.55000000000000004">
      <c r="C22" s="162">
        <v>17</v>
      </c>
      <c r="D22" s="27">
        <v>2043</v>
      </c>
      <c r="E22" s="155">
        <f t="shared" si="3"/>
        <v>845.2684018602223</v>
      </c>
      <c r="F22" s="28">
        <f t="shared" si="3"/>
        <v>308522.96667898109</v>
      </c>
      <c r="G22" s="33">
        <v>0.86</v>
      </c>
      <c r="H22" s="35">
        <f t="shared" si="0"/>
        <v>265329.75134392374</v>
      </c>
      <c r="I22" s="155">
        <f t="shared" si="4"/>
        <v>413.35317978520521</v>
      </c>
      <c r="J22" s="28">
        <f t="shared" si="1"/>
        <v>150873.91062159991</v>
      </c>
      <c r="K22" s="31">
        <v>2.38</v>
      </c>
      <c r="L22" s="163">
        <f t="shared" si="2"/>
        <v>509893.46833675902</v>
      </c>
      <c r="M22" s="40"/>
      <c r="N22" s="533"/>
      <c r="O22" s="39"/>
      <c r="P22" s="39"/>
      <c r="Q22" s="39"/>
      <c r="R22" s="43"/>
      <c r="S22" s="43"/>
      <c r="T22" s="43"/>
      <c r="U22" s="43"/>
      <c r="V22" s="43"/>
      <c r="W22" s="43"/>
    </row>
    <row r="23" spans="1:23" x14ac:dyDescent="0.55000000000000004">
      <c r="C23" s="162">
        <v>18</v>
      </c>
      <c r="D23" s="27">
        <v>2044</v>
      </c>
      <c r="E23" s="155">
        <f t="shared" si="3"/>
        <v>862.17376989742672</v>
      </c>
      <c r="F23" s="28">
        <f t="shared" si="3"/>
        <v>314693.42601256073</v>
      </c>
      <c r="G23" s="33">
        <v>0.86</v>
      </c>
      <c r="H23" s="35">
        <f t="shared" si="0"/>
        <v>270636.3463708022</v>
      </c>
      <c r="I23" s="155">
        <f t="shared" si="4"/>
        <v>421.6202433809093</v>
      </c>
      <c r="J23" s="28">
        <f t="shared" si="1"/>
        <v>153891.38883403188</v>
      </c>
      <c r="K23" s="31">
        <v>2.38</v>
      </c>
      <c r="L23" s="163">
        <f t="shared" si="2"/>
        <v>520091.33770349406</v>
      </c>
      <c r="M23" s="40"/>
      <c r="N23" s="533"/>
      <c r="O23" s="39"/>
      <c r="P23" s="39"/>
      <c r="Q23" s="39"/>
      <c r="R23" s="43"/>
      <c r="S23" s="43"/>
      <c r="T23" s="43"/>
      <c r="U23" s="43"/>
      <c r="V23" s="43"/>
      <c r="W23" s="43"/>
    </row>
    <row r="24" spans="1:23" x14ac:dyDescent="0.55000000000000004">
      <c r="C24" s="162">
        <v>19</v>
      </c>
      <c r="D24" s="27">
        <v>2045</v>
      </c>
      <c r="E24" s="155">
        <f t="shared" ref="E24:F25" si="5">E23*(1+$E$2)</f>
        <v>879.41724529537532</v>
      </c>
      <c r="F24" s="28">
        <f t="shared" si="5"/>
        <v>320987.29453281197</v>
      </c>
      <c r="G24" s="33">
        <v>0.86</v>
      </c>
      <c r="H24" s="35">
        <f t="shared" si="0"/>
        <v>276049.07329821831</v>
      </c>
      <c r="I24" s="155">
        <f t="shared" si="4"/>
        <v>430.05264824852748</v>
      </c>
      <c r="J24" s="28">
        <f t="shared" si="1"/>
        <v>156969.21661071252</v>
      </c>
      <c r="K24" s="31">
        <v>2.38</v>
      </c>
      <c r="L24" s="163">
        <f t="shared" si="2"/>
        <v>530493.16445756401</v>
      </c>
      <c r="M24" s="40"/>
      <c r="N24" s="533"/>
      <c r="O24" s="39"/>
      <c r="P24" s="39"/>
      <c r="Q24" s="39"/>
      <c r="R24" s="43"/>
      <c r="S24" s="43"/>
      <c r="T24" s="43"/>
      <c r="U24" s="43"/>
      <c r="V24" s="43"/>
      <c r="W24" s="43"/>
    </row>
    <row r="25" spans="1:23" ht="14.7" thickBot="1" x14ac:dyDescent="0.6">
      <c r="C25" s="164">
        <v>20</v>
      </c>
      <c r="D25" s="165">
        <v>2046</v>
      </c>
      <c r="E25" s="166">
        <f t="shared" si="5"/>
        <v>897.00559020128287</v>
      </c>
      <c r="F25" s="167">
        <f t="shared" si="5"/>
        <v>327407.04042346822</v>
      </c>
      <c r="G25" s="168">
        <v>0.86</v>
      </c>
      <c r="H25" s="169">
        <f t="shared" si="0"/>
        <v>281570.05476418266</v>
      </c>
      <c r="I25" s="166">
        <f t="shared" si="4"/>
        <v>438.65370121349804</v>
      </c>
      <c r="J25" s="167">
        <f t="shared" si="1"/>
        <v>160108.60094292677</v>
      </c>
      <c r="K25" s="170">
        <v>2.38</v>
      </c>
      <c r="L25" s="171">
        <f t="shared" si="2"/>
        <v>541103.02774671523</v>
      </c>
      <c r="M25" s="40"/>
      <c r="N25" s="533"/>
      <c r="O25" s="39"/>
      <c r="P25" s="39"/>
      <c r="Q25" s="39"/>
      <c r="R25" s="43"/>
      <c r="S25" s="43"/>
      <c r="T25" s="43"/>
      <c r="U25" s="43"/>
      <c r="V25" s="43"/>
      <c r="W25" s="43"/>
    </row>
    <row r="26" spans="1:23" ht="16.2" thickTop="1" thickBot="1" x14ac:dyDescent="0.65">
      <c r="G26" s="172" t="s">
        <v>176</v>
      </c>
      <c r="H26" s="760">
        <f>SUM(H6:H25)</f>
        <v>4696155.4619573131</v>
      </c>
      <c r="I26" s="173"/>
      <c r="J26" s="174"/>
      <c r="K26" s="174"/>
      <c r="L26" s="762">
        <f>SUM(L6:L25)</f>
        <v>9024766.2925752997</v>
      </c>
      <c r="M26" s="40"/>
      <c r="N26" s="739">
        <f>H26+L26</f>
        <v>13720921.754532613</v>
      </c>
      <c r="O26" s="39"/>
      <c r="P26" s="39"/>
      <c r="Q26" s="39"/>
      <c r="R26" s="43"/>
      <c r="S26" s="43"/>
      <c r="T26" s="43"/>
      <c r="U26" s="43"/>
      <c r="V26" s="43"/>
      <c r="W26" s="43"/>
    </row>
    <row r="27" spans="1:23" ht="14.7" thickTop="1" x14ac:dyDescent="0.55000000000000004">
      <c r="I27">
        <v>1</v>
      </c>
      <c r="J27" s="375" t="s">
        <v>96</v>
      </c>
      <c r="M27" s="40"/>
      <c r="N27" s="39"/>
      <c r="O27" s="39"/>
      <c r="P27" s="39"/>
      <c r="Q27" s="39"/>
      <c r="R27" s="43"/>
      <c r="S27" s="43"/>
      <c r="T27" s="43"/>
      <c r="U27" s="43"/>
      <c r="V27" s="43"/>
      <c r="W27" s="43"/>
    </row>
    <row r="28" spans="1:23" x14ac:dyDescent="0.55000000000000004">
      <c r="C28" s="22"/>
      <c r="D28" s="22"/>
      <c r="E28" s="22"/>
      <c r="F28" s="22"/>
      <c r="G28" s="22"/>
      <c r="H28" s="22"/>
      <c r="I28" s="22">
        <v>2</v>
      </c>
      <c r="J28" s="22" t="s">
        <v>328</v>
      </c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spans="1:23" x14ac:dyDescent="0.55000000000000004">
      <c r="A29" s="66"/>
      <c r="B29" s="206"/>
      <c r="C29" s="206"/>
      <c r="F29" s="22"/>
      <c r="G29" s="22"/>
      <c r="H29" s="22"/>
      <c r="I29" s="22">
        <v>3</v>
      </c>
      <c r="J29" s="22" t="s">
        <v>329</v>
      </c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  <row r="30" spans="1:23" x14ac:dyDescent="0.55000000000000004">
      <c r="A30" s="66"/>
      <c r="B30" s="206"/>
      <c r="C30" s="206"/>
      <c r="F30" s="58"/>
      <c r="G30" s="22"/>
      <c r="H30" s="22"/>
      <c r="I30" s="44">
        <v>4</v>
      </c>
      <c r="J30" s="22" t="s">
        <v>330</v>
      </c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</row>
    <row r="31" spans="1:23" x14ac:dyDescent="0.55000000000000004">
      <c r="A31" s="66"/>
      <c r="B31" s="206"/>
      <c r="C31" s="206"/>
      <c r="F31" s="58"/>
      <c r="G31" s="22"/>
      <c r="H31" s="22"/>
      <c r="I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</row>
    <row r="32" spans="1:23" x14ac:dyDescent="0.55000000000000004">
      <c r="B32" s="206"/>
      <c r="C32" s="206"/>
      <c r="D32" s="66"/>
      <c r="E32" s="66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</row>
    <row r="33" spans="3:23" x14ac:dyDescent="0.55000000000000004"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</row>
    <row r="34" spans="3:23" x14ac:dyDescent="0.55000000000000004"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</row>
    <row r="35" spans="3:23" x14ac:dyDescent="0.55000000000000004"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</row>
    <row r="36" spans="3:23" x14ac:dyDescent="0.55000000000000004"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</row>
    <row r="37" spans="3:23" x14ac:dyDescent="0.55000000000000004"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</row>
    <row r="38" spans="3:23" x14ac:dyDescent="0.55000000000000004"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</row>
    <row r="39" spans="3:23" x14ac:dyDescent="0.55000000000000004"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</row>
    <row r="40" spans="3:23" x14ac:dyDescent="0.55000000000000004">
      <c r="C40" s="154"/>
      <c r="D40" s="154"/>
      <c r="E40" s="154"/>
      <c r="F40" s="154"/>
      <c r="G40" s="154"/>
      <c r="H40" s="154"/>
      <c r="I40" s="154"/>
      <c r="J40" s="154"/>
      <c r="K40" s="154"/>
      <c r="L40" s="154"/>
    </row>
    <row r="41" spans="3:23" x14ac:dyDescent="0.55000000000000004">
      <c r="C41" s="154"/>
      <c r="D41" s="154"/>
      <c r="E41" s="154"/>
      <c r="F41" s="154"/>
      <c r="G41" s="154"/>
      <c r="H41" s="154"/>
      <c r="I41" s="154"/>
      <c r="J41" s="154"/>
      <c r="K41" s="154"/>
      <c r="L41" s="154"/>
    </row>
    <row r="42" spans="3:23" x14ac:dyDescent="0.55000000000000004">
      <c r="C42" s="154"/>
      <c r="D42" s="154"/>
      <c r="E42" s="154"/>
      <c r="F42" s="154"/>
      <c r="G42" s="154"/>
      <c r="H42" s="154"/>
      <c r="I42" s="154"/>
      <c r="J42" s="154"/>
      <c r="K42" s="154"/>
      <c r="L42" s="154"/>
    </row>
    <row r="43" spans="3:23" x14ac:dyDescent="0.55000000000000004">
      <c r="C43" s="154"/>
      <c r="D43" s="154"/>
      <c r="E43" s="154"/>
      <c r="F43" s="154"/>
      <c r="G43" s="154"/>
      <c r="H43" s="154"/>
      <c r="I43" s="154"/>
      <c r="J43" s="154"/>
      <c r="K43" s="154"/>
      <c r="L43" s="154"/>
    </row>
    <row r="44" spans="3:23" x14ac:dyDescent="0.55000000000000004">
      <c r="C44" s="154"/>
      <c r="D44" s="154"/>
      <c r="E44" s="154"/>
      <c r="F44" s="154"/>
      <c r="G44" s="154"/>
      <c r="H44" s="154"/>
      <c r="I44" s="154"/>
      <c r="J44" s="154"/>
      <c r="K44" s="154"/>
      <c r="L44" s="154"/>
    </row>
    <row r="45" spans="3:23" x14ac:dyDescent="0.55000000000000004">
      <c r="C45" s="154"/>
      <c r="D45" s="154"/>
      <c r="E45" s="154"/>
      <c r="F45" s="154"/>
      <c r="G45" s="154"/>
      <c r="H45" s="154"/>
      <c r="I45" s="154"/>
      <c r="J45" s="154"/>
      <c r="K45" s="154"/>
      <c r="L45" s="154"/>
    </row>
    <row r="46" spans="3:23" x14ac:dyDescent="0.55000000000000004">
      <c r="C46" s="154"/>
      <c r="D46" s="154"/>
      <c r="E46" s="154"/>
      <c r="F46" s="154"/>
      <c r="G46" s="154"/>
      <c r="H46" s="154"/>
      <c r="I46" s="154"/>
      <c r="J46" s="154"/>
      <c r="K46" s="154"/>
      <c r="L46" s="154"/>
    </row>
    <row r="47" spans="3:23" x14ac:dyDescent="0.55000000000000004">
      <c r="C47" s="154"/>
      <c r="D47" s="154"/>
      <c r="E47" s="154"/>
      <c r="F47" s="154"/>
      <c r="G47" s="154"/>
      <c r="H47" s="154"/>
      <c r="I47" s="154"/>
      <c r="J47" s="154"/>
      <c r="K47" s="154"/>
      <c r="L47" s="154"/>
    </row>
    <row r="48" spans="3:23" x14ac:dyDescent="0.55000000000000004">
      <c r="C48" s="154"/>
      <c r="D48" s="154"/>
      <c r="E48" s="154"/>
      <c r="F48" s="154"/>
      <c r="G48" s="154"/>
      <c r="H48" s="154"/>
      <c r="I48" s="154"/>
      <c r="J48" s="154"/>
      <c r="K48" s="154"/>
      <c r="L48" s="154"/>
    </row>
    <row r="49" spans="3:12" x14ac:dyDescent="0.55000000000000004">
      <c r="C49" s="154"/>
      <c r="D49" s="154"/>
      <c r="E49" s="154"/>
      <c r="F49" s="154"/>
      <c r="G49" s="154"/>
      <c r="H49" s="154"/>
      <c r="I49" s="154"/>
      <c r="J49" s="154"/>
      <c r="K49" s="154"/>
      <c r="L49" s="154"/>
    </row>
    <row r="50" spans="3:12" x14ac:dyDescent="0.55000000000000004">
      <c r="C50" s="154"/>
      <c r="D50" s="154"/>
      <c r="E50" s="154"/>
      <c r="F50" s="154"/>
      <c r="G50" s="154"/>
      <c r="H50" s="154"/>
      <c r="I50" s="154"/>
      <c r="J50" s="154"/>
      <c r="K50" s="154"/>
      <c r="L50" s="154"/>
    </row>
    <row r="51" spans="3:12" x14ac:dyDescent="0.55000000000000004">
      <c r="C51" s="154"/>
      <c r="D51" s="154"/>
      <c r="E51" s="154"/>
      <c r="F51" s="154"/>
      <c r="G51" s="154"/>
      <c r="H51" s="154"/>
      <c r="I51" s="154"/>
      <c r="J51" s="154"/>
      <c r="K51" s="154"/>
      <c r="L51" s="154"/>
    </row>
    <row r="52" spans="3:12" x14ac:dyDescent="0.55000000000000004">
      <c r="C52" s="154"/>
      <c r="D52" s="154"/>
      <c r="E52" s="154"/>
      <c r="F52" s="154"/>
      <c r="G52" s="154"/>
      <c r="H52" s="154"/>
      <c r="I52" s="154"/>
      <c r="J52" s="154"/>
      <c r="K52" s="154"/>
      <c r="L52" s="154"/>
    </row>
    <row r="53" spans="3:12" x14ac:dyDescent="0.55000000000000004">
      <c r="C53" s="154"/>
      <c r="D53" s="154"/>
      <c r="E53" s="154"/>
      <c r="F53" s="154"/>
      <c r="G53" s="154"/>
      <c r="H53" s="154"/>
      <c r="I53" s="154"/>
      <c r="J53" s="154"/>
      <c r="K53" s="154"/>
      <c r="L53" s="154"/>
    </row>
    <row r="54" spans="3:12" x14ac:dyDescent="0.55000000000000004">
      <c r="C54" s="154"/>
      <c r="D54" s="154"/>
      <c r="E54" s="154"/>
      <c r="F54" s="154"/>
      <c r="G54" s="154"/>
      <c r="H54" s="154"/>
      <c r="I54" s="154"/>
      <c r="J54" s="154"/>
      <c r="K54" s="154"/>
      <c r="L54" s="154"/>
    </row>
    <row r="55" spans="3:12" x14ac:dyDescent="0.55000000000000004">
      <c r="C55" s="154"/>
      <c r="D55" s="154"/>
      <c r="E55" s="154"/>
      <c r="F55" s="154"/>
      <c r="G55" s="154"/>
      <c r="H55" s="154"/>
      <c r="I55" s="154"/>
      <c r="J55" s="154"/>
      <c r="K55" s="154"/>
      <c r="L55" s="154"/>
    </row>
  </sheetData>
  <mergeCells count="6">
    <mergeCell ref="P4:R4"/>
    <mergeCell ref="C1:E1"/>
    <mergeCell ref="J1:L1"/>
    <mergeCell ref="C2:D2"/>
    <mergeCell ref="J2:K2"/>
    <mergeCell ref="C4:L4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41D8B-1136-45F5-ACBF-D0CBF3857FF9}">
  <sheetPr>
    <tabColor rgb="FFFFC000"/>
  </sheetPr>
  <dimension ref="A1:W61"/>
  <sheetViews>
    <sheetView workbookViewId="0">
      <selection activeCell="C7" sqref="C7"/>
    </sheetView>
  </sheetViews>
  <sheetFormatPr defaultRowHeight="14.4" x14ac:dyDescent="0.55000000000000004"/>
  <cols>
    <col min="2" max="2" width="28.41796875" style="66" customWidth="1"/>
    <col min="3" max="3" width="17.15625" customWidth="1"/>
    <col min="4" max="4" width="21.578125" customWidth="1"/>
    <col min="5" max="5" width="18.41796875" customWidth="1"/>
    <col min="6" max="6" width="17.15625" customWidth="1"/>
    <col min="7" max="7" width="17.41796875" customWidth="1"/>
    <col min="8" max="8" width="9.83984375" customWidth="1"/>
    <col min="15" max="22" width="20.15625" customWidth="1"/>
    <col min="23" max="23" width="26.26171875" customWidth="1"/>
  </cols>
  <sheetData>
    <row r="1" spans="1:21" ht="15.6" x14ac:dyDescent="0.6">
      <c r="A1" s="743" t="s">
        <v>461</v>
      </c>
      <c r="B1" s="94"/>
    </row>
    <row r="2" spans="1:21" x14ac:dyDescent="0.55000000000000004">
      <c r="B2" s="303" t="s">
        <v>71</v>
      </c>
      <c r="H2" s="64"/>
      <c r="I2" s="64"/>
      <c r="J2" s="64"/>
      <c r="K2" s="64"/>
    </row>
    <row r="3" spans="1:21" x14ac:dyDescent="0.55000000000000004">
      <c r="B3" s="94" t="s">
        <v>72</v>
      </c>
      <c r="H3" s="64"/>
      <c r="I3" s="64"/>
      <c r="J3" s="64"/>
      <c r="K3" s="64"/>
    </row>
    <row r="4" spans="1:21" x14ac:dyDescent="0.55000000000000004">
      <c r="B4" s="304" t="s">
        <v>5</v>
      </c>
      <c r="H4" s="64"/>
      <c r="I4" s="64"/>
      <c r="J4" s="64"/>
      <c r="K4" s="64"/>
    </row>
    <row r="5" spans="1:21" ht="14.7" thickBot="1" x14ac:dyDescent="0.6">
      <c r="B5" s="94"/>
      <c r="H5" s="64"/>
      <c r="I5" s="64"/>
      <c r="J5" s="305"/>
      <c r="K5" s="64"/>
    </row>
    <row r="6" spans="1:21" ht="14.7" thickTop="1" x14ac:dyDescent="0.55000000000000004">
      <c r="B6" s="753" t="s">
        <v>235</v>
      </c>
      <c r="C6" s="755">
        <v>2020</v>
      </c>
      <c r="D6" s="939"/>
      <c r="E6" s="940"/>
      <c r="H6" s="64"/>
      <c r="I6" s="64"/>
      <c r="J6" s="305"/>
      <c r="K6" s="64"/>
    </row>
    <row r="7" spans="1:21" x14ac:dyDescent="0.55000000000000004">
      <c r="B7" s="752" t="s">
        <v>250</v>
      </c>
      <c r="C7" s="767">
        <f>'CRASH SUMMARY'!D15</f>
        <v>0.91275412231298214</v>
      </c>
      <c r="D7" s="941" t="s">
        <v>249</v>
      </c>
      <c r="E7" s="942"/>
      <c r="H7" s="64"/>
      <c r="I7" s="64"/>
      <c r="J7" s="305"/>
      <c r="K7" s="64"/>
    </row>
    <row r="8" spans="1:21" x14ac:dyDescent="0.55000000000000004">
      <c r="B8" s="750" t="s">
        <v>463</v>
      </c>
      <c r="C8" s="768">
        <f>'CRASH SUMMARY'!D8</f>
        <v>6354.3947468595361</v>
      </c>
      <c r="D8" s="945" t="s">
        <v>464</v>
      </c>
      <c r="E8" s="946"/>
      <c r="H8" s="64"/>
      <c r="I8" s="64"/>
      <c r="J8" s="305"/>
      <c r="K8" s="64"/>
    </row>
    <row r="9" spans="1:21" ht="14.7" thickBot="1" x14ac:dyDescent="0.6">
      <c r="B9" s="751" t="s">
        <v>261</v>
      </c>
      <c r="C9" s="754">
        <v>0.02</v>
      </c>
      <c r="D9" s="943" t="s">
        <v>262</v>
      </c>
      <c r="E9" s="944"/>
      <c r="H9" s="64"/>
      <c r="I9" s="64"/>
      <c r="J9" s="305"/>
      <c r="K9" s="64"/>
    </row>
    <row r="10" spans="1:21" ht="14.7" thickTop="1" x14ac:dyDescent="0.55000000000000004"/>
    <row r="12" spans="1:21" x14ac:dyDescent="0.55000000000000004">
      <c r="K12" s="26"/>
    </row>
    <row r="13" spans="1:21" x14ac:dyDescent="0.55000000000000004">
      <c r="K13" s="26"/>
    </row>
    <row r="14" spans="1:21" x14ac:dyDescent="0.55000000000000004">
      <c r="K14" s="26"/>
      <c r="L14" s="49"/>
      <c r="U14" s="48"/>
    </row>
    <row r="15" spans="1:21" ht="43.2" x14ac:dyDescent="0.55000000000000004">
      <c r="B15" s="66" t="s">
        <v>259</v>
      </c>
      <c r="C15" s="205" t="s">
        <v>251</v>
      </c>
      <c r="D15" s="205" t="s">
        <v>254</v>
      </c>
      <c r="S15" s="48"/>
    </row>
    <row r="16" spans="1:21" x14ac:dyDescent="0.55000000000000004">
      <c r="B16" s="204" t="s">
        <v>255</v>
      </c>
      <c r="C16" s="297">
        <v>3.3333300000000003E-2</v>
      </c>
      <c r="D16" s="298">
        <v>11600000</v>
      </c>
      <c r="S16" s="48"/>
    </row>
    <row r="17" spans="2:19" x14ac:dyDescent="0.55000000000000004">
      <c r="B17" s="204" t="s">
        <v>256</v>
      </c>
      <c r="C17" s="297">
        <v>0.23333300000000001</v>
      </c>
      <c r="D17" s="298">
        <v>554800</v>
      </c>
      <c r="S17" s="48"/>
    </row>
    <row r="18" spans="2:19" x14ac:dyDescent="0.55000000000000004">
      <c r="B18" s="204" t="s">
        <v>257</v>
      </c>
      <c r="C18" s="297">
        <v>0.63333300000000003</v>
      </c>
      <c r="D18" s="298">
        <v>151100</v>
      </c>
      <c r="S18" s="48"/>
    </row>
    <row r="19" spans="2:19" x14ac:dyDescent="0.55000000000000004">
      <c r="B19" s="204" t="s">
        <v>260</v>
      </c>
      <c r="C19" s="297">
        <v>0</v>
      </c>
      <c r="D19" s="298">
        <v>77200</v>
      </c>
      <c r="I19" s="26"/>
      <c r="S19" s="48"/>
    </row>
    <row r="20" spans="2:19" x14ac:dyDescent="0.55000000000000004">
      <c r="B20" s="204" t="s">
        <v>258</v>
      </c>
      <c r="C20" s="297">
        <v>0.1</v>
      </c>
      <c r="D20" s="298">
        <v>4600</v>
      </c>
      <c r="I20" s="26"/>
      <c r="S20" s="48"/>
    </row>
    <row r="21" spans="2:19" x14ac:dyDescent="0.55000000000000004">
      <c r="B21" s="204"/>
      <c r="C21" s="297"/>
      <c r="I21" s="26"/>
      <c r="S21" s="48"/>
    </row>
    <row r="22" spans="2:19" x14ac:dyDescent="0.55000000000000004">
      <c r="B22" s="204"/>
      <c r="C22" s="297"/>
      <c r="I22" s="26"/>
      <c r="S22" s="48"/>
    </row>
    <row r="23" spans="2:19" x14ac:dyDescent="0.55000000000000004">
      <c r="B23" s="204"/>
      <c r="C23" s="297"/>
      <c r="I23" s="26"/>
      <c r="S23" s="48"/>
    </row>
    <row r="24" spans="2:19" x14ac:dyDescent="0.55000000000000004">
      <c r="B24" s="301"/>
      <c r="C24" s="300"/>
      <c r="S24" s="48"/>
    </row>
    <row r="25" spans="2:19" x14ac:dyDescent="0.55000000000000004">
      <c r="B25" s="302"/>
      <c r="C25" s="26"/>
    </row>
    <row r="26" spans="2:19" x14ac:dyDescent="0.55000000000000004">
      <c r="C26" s="26"/>
    </row>
    <row r="27" spans="2:19" x14ac:dyDescent="0.55000000000000004">
      <c r="B27" s="204" t="s">
        <v>84</v>
      </c>
      <c r="C27" s="20">
        <v>4400</v>
      </c>
      <c r="E27" t="s">
        <v>6</v>
      </c>
    </row>
    <row r="28" spans="2:19" ht="28.8" x14ac:dyDescent="0.55000000000000004">
      <c r="B28" s="204" t="s">
        <v>10</v>
      </c>
      <c r="C28" s="20">
        <v>32700</v>
      </c>
      <c r="F28" s="12" t="s">
        <v>7</v>
      </c>
      <c r="G28" s="12" t="s">
        <v>8</v>
      </c>
    </row>
    <row r="29" spans="2:19" x14ac:dyDescent="0.55000000000000004">
      <c r="B29" s="204" t="s">
        <v>83</v>
      </c>
      <c r="C29" s="20">
        <v>512300</v>
      </c>
      <c r="E29" t="s">
        <v>9</v>
      </c>
      <c r="F29">
        <v>0.21537999999999999</v>
      </c>
      <c r="G29">
        <v>0.92534000000000005</v>
      </c>
    </row>
    <row r="30" spans="2:19" x14ac:dyDescent="0.55000000000000004">
      <c r="B30" s="204" t="s">
        <v>85</v>
      </c>
      <c r="C30" s="20">
        <v>1144500</v>
      </c>
      <c r="E30" t="s">
        <v>10</v>
      </c>
      <c r="F30">
        <v>0.62727999999999995</v>
      </c>
      <c r="G30">
        <v>7.2569999999999996E-2</v>
      </c>
    </row>
    <row r="31" spans="2:19" x14ac:dyDescent="0.55000000000000004">
      <c r="B31" s="204" t="s">
        <v>86</v>
      </c>
      <c r="C31" s="20">
        <v>2899400</v>
      </c>
      <c r="E31" t="s">
        <v>12</v>
      </c>
      <c r="F31">
        <v>0.104</v>
      </c>
      <c r="G31">
        <v>1.98E-3</v>
      </c>
    </row>
    <row r="32" spans="2:19" x14ac:dyDescent="0.55000000000000004">
      <c r="B32" s="204" t="s">
        <v>15</v>
      </c>
      <c r="C32" s="20">
        <v>6463700</v>
      </c>
      <c r="E32" t="s">
        <v>13</v>
      </c>
      <c r="F32">
        <v>3.8580000000000003E-2</v>
      </c>
      <c r="G32">
        <v>8.0000000000000007E-5</v>
      </c>
    </row>
    <row r="33" spans="2:23" x14ac:dyDescent="0.55000000000000004">
      <c r="B33" s="204" t="s">
        <v>87</v>
      </c>
      <c r="C33" s="20">
        <v>10900000</v>
      </c>
      <c r="E33" t="s">
        <v>14</v>
      </c>
      <c r="F33">
        <v>4.4200000000000003E-3</v>
      </c>
      <c r="G33">
        <v>0</v>
      </c>
    </row>
    <row r="34" spans="2:23" x14ac:dyDescent="0.55000000000000004">
      <c r="E34" t="s">
        <v>15</v>
      </c>
      <c r="F34">
        <v>1.034E-2</v>
      </c>
      <c r="G34">
        <v>3.0000000000000001E-5</v>
      </c>
    </row>
    <row r="35" spans="2:23" x14ac:dyDescent="0.55000000000000004">
      <c r="E35" s="13" t="s">
        <v>16</v>
      </c>
    </row>
    <row r="36" spans="2:23" x14ac:dyDescent="0.55000000000000004">
      <c r="E36" s="13"/>
    </row>
    <row r="37" spans="2:23" x14ac:dyDescent="0.55000000000000004">
      <c r="H37" s="938" t="s">
        <v>17</v>
      </c>
      <c r="I37" s="938"/>
      <c r="J37" s="938"/>
      <c r="K37" s="938"/>
      <c r="L37" s="938"/>
      <c r="M37" s="938"/>
      <c r="N37" s="938"/>
      <c r="O37" s="938" t="s">
        <v>18</v>
      </c>
      <c r="P37" s="938"/>
      <c r="Q37" s="938"/>
      <c r="R37" s="938"/>
      <c r="S37" s="938"/>
      <c r="T37" s="938"/>
      <c r="U37" s="938"/>
      <c r="V37" s="938"/>
      <c r="W37">
        <v>7.0000000000000007E-2</v>
      </c>
    </row>
    <row r="38" spans="2:23" x14ac:dyDescent="0.55000000000000004">
      <c r="B38" s="205" t="s">
        <v>4</v>
      </c>
      <c r="C38" s="14" t="s">
        <v>2</v>
      </c>
      <c r="D38" s="14" t="s">
        <v>253</v>
      </c>
      <c r="E38" s="14" t="s">
        <v>28</v>
      </c>
      <c r="F38" s="14" t="s">
        <v>29</v>
      </c>
      <c r="G38" s="14" t="s">
        <v>252</v>
      </c>
      <c r="H38" s="14" t="s">
        <v>11</v>
      </c>
      <c r="I38" s="14" t="s">
        <v>19</v>
      </c>
      <c r="J38" s="14" t="s">
        <v>20</v>
      </c>
      <c r="K38" s="14" t="s">
        <v>21</v>
      </c>
      <c r="L38" s="14" t="s">
        <v>22</v>
      </c>
      <c r="M38" s="14" t="s">
        <v>23</v>
      </c>
      <c r="N38" s="14" t="s">
        <v>24</v>
      </c>
      <c r="O38" s="14" t="s">
        <v>266</v>
      </c>
      <c r="P38" s="14" t="s">
        <v>267</v>
      </c>
      <c r="Q38" s="14" t="s">
        <v>268</v>
      </c>
      <c r="R38" s="14" t="s">
        <v>269</v>
      </c>
      <c r="S38" s="14" t="s">
        <v>270</v>
      </c>
      <c r="T38" s="14" t="s">
        <v>271</v>
      </c>
      <c r="U38" s="14" t="s">
        <v>272</v>
      </c>
      <c r="V38" s="14" t="s">
        <v>25</v>
      </c>
      <c r="W38" s="14" t="s">
        <v>26</v>
      </c>
    </row>
    <row r="39" spans="2:23" x14ac:dyDescent="0.55000000000000004">
      <c r="B39" s="66">
        <v>1</v>
      </c>
      <c r="C39" s="27">
        <v>2027</v>
      </c>
      <c r="D39" s="29">
        <f>$C$8</f>
        <v>6354.3947468595361</v>
      </c>
      <c r="E39" s="26">
        <f t="shared" ref="E39:E58" si="0">D39*$C$7*$C$16/1000</f>
        <v>0.19333314000000001</v>
      </c>
      <c r="F39" s="299">
        <f>$D$39*$C$17/1000</f>
        <v>1.4826899894689762</v>
      </c>
      <c r="G39" s="26">
        <f t="shared" ref="G39:G58" si="1">D39*$C$7/1000</f>
        <v>5.8</v>
      </c>
      <c r="H39" s="26">
        <f>E39</f>
        <v>0.19333314000000001</v>
      </c>
      <c r="I39" s="26">
        <f t="shared" ref="I39:I58" si="2">(($F$34*$F39)+($G$34*$G39))</f>
        <v>1.5505014491109215E-2</v>
      </c>
      <c r="J39" s="26">
        <f t="shared" ref="J39:J58" si="3">(($F$33*$F39)+($G$33*$G39))</f>
        <v>6.5534897534528756E-3</v>
      </c>
      <c r="K39" s="26">
        <f t="shared" ref="K39:K58" si="4">(($F$32*$F39)+($G$32*$G39))</f>
        <v>5.7666179793713107E-2</v>
      </c>
      <c r="L39" s="26">
        <f t="shared" ref="L39:L58" si="5">(($F$31*$F39)+($G$31*$G39))</f>
        <v>0.16568375890477352</v>
      </c>
      <c r="M39" s="26">
        <f t="shared" ref="M39:M58" si="6">(($F$30*$F39)+($G$30*$G39))</f>
        <v>1.3509677765940993</v>
      </c>
      <c r="N39" s="26">
        <f t="shared" ref="N39:N58" si="7">(($F$29*$F39)+($G$29*G39))</f>
        <v>5.6863137699318287</v>
      </c>
      <c r="O39" s="30">
        <f>H39*$C$33</f>
        <v>2107331.2260000003</v>
      </c>
      <c r="P39" s="30">
        <f>I39*$C$32</f>
        <v>100219.76216618263</v>
      </c>
      <c r="Q39" s="30">
        <f>J39*$C$31</f>
        <v>19001.188191161269</v>
      </c>
      <c r="R39" s="30">
        <f>K39*$C$30</f>
        <v>65998.942773904651</v>
      </c>
      <c r="S39" s="30">
        <f>L39*$C$29</f>
        <v>84879.789686915479</v>
      </c>
      <c r="T39" s="30">
        <f>M39*$C$28</f>
        <v>44176.646294627048</v>
      </c>
      <c r="U39" s="30">
        <f>N39*$C$27</f>
        <v>25019.780587700046</v>
      </c>
      <c r="V39" s="30">
        <f>SUM(O39:U39)</f>
        <v>2446627.3357004914</v>
      </c>
      <c r="W39" s="30">
        <f t="shared" ref="W39:W58" si="8">ROUND($V39/((1+$W$37)^($C39-$C$6)),0)</f>
        <v>1523637</v>
      </c>
    </row>
    <row r="40" spans="2:23" x14ac:dyDescent="0.55000000000000004">
      <c r="B40" s="66">
        <v>2</v>
      </c>
      <c r="C40" s="27">
        <v>2028</v>
      </c>
      <c r="D40" s="29">
        <f t="shared" ref="D40:D58" si="9">D39*(1+$C$9)</f>
        <v>6481.482641796727</v>
      </c>
      <c r="E40" s="26">
        <f t="shared" si="0"/>
        <v>0.19719980280000002</v>
      </c>
      <c r="F40" s="299">
        <f t="shared" ref="F40:F58" si="10">$D$39*$C$17/1000</f>
        <v>1.4826899894689762</v>
      </c>
      <c r="G40" s="26">
        <f t="shared" si="1"/>
        <v>5.9160000000000004</v>
      </c>
      <c r="H40" s="26">
        <f t="shared" ref="H40:H58" si="11">E40</f>
        <v>0.19719980280000002</v>
      </c>
      <c r="I40" s="26">
        <f t="shared" si="2"/>
        <v>1.5508494491109215E-2</v>
      </c>
      <c r="J40" s="26">
        <f t="shared" si="3"/>
        <v>6.5534897534528756E-3</v>
      </c>
      <c r="K40" s="26">
        <f t="shared" si="4"/>
        <v>5.7675459793713107E-2</v>
      </c>
      <c r="L40" s="26">
        <f t="shared" si="5"/>
        <v>0.16591343890477353</v>
      </c>
      <c r="M40" s="26">
        <f t="shared" si="6"/>
        <v>1.3593858965940995</v>
      </c>
      <c r="N40" s="26">
        <f t="shared" si="7"/>
        <v>5.7936532099318292</v>
      </c>
      <c r="O40" s="30">
        <f t="shared" ref="O40:O58" si="12">H40*$C$33</f>
        <v>2149477.8505200003</v>
      </c>
      <c r="P40" s="30">
        <f t="shared" ref="P40:P58" si="13">I40*$C$32</f>
        <v>100242.25584218264</v>
      </c>
      <c r="Q40" s="30">
        <f t="shared" ref="Q40:Q58" si="14">J40*$C$31</f>
        <v>19001.188191161269</v>
      </c>
      <c r="R40" s="30">
        <f t="shared" ref="R40:R58" si="15">K40*$C$30</f>
        <v>66009.563733904652</v>
      </c>
      <c r="S40" s="30">
        <f t="shared" ref="S40:S58" si="16">L40*$C$29</f>
        <v>84997.45475091548</v>
      </c>
      <c r="T40" s="30">
        <f t="shared" ref="T40:T58" si="17">M40*$C$28</f>
        <v>44451.918818627055</v>
      </c>
      <c r="U40" s="30">
        <f t="shared" ref="U40:U58" si="18">N40*$C$27</f>
        <v>25492.074123700047</v>
      </c>
      <c r="V40" s="30">
        <f t="shared" ref="V40:V58" si="19">SUM(O40:U40)</f>
        <v>2489672.3059804919</v>
      </c>
      <c r="W40" s="30">
        <f t="shared" si="8"/>
        <v>1449012</v>
      </c>
    </row>
    <row r="41" spans="2:23" x14ac:dyDescent="0.55000000000000004">
      <c r="B41" s="66">
        <v>3</v>
      </c>
      <c r="C41" s="27">
        <v>2029</v>
      </c>
      <c r="D41" s="29">
        <f t="shared" si="9"/>
        <v>6611.1122946326614</v>
      </c>
      <c r="E41" s="26">
        <f t="shared" si="0"/>
        <v>0.20114379885600003</v>
      </c>
      <c r="F41" s="299">
        <f t="shared" si="10"/>
        <v>1.4826899894689762</v>
      </c>
      <c r="G41" s="26">
        <f t="shared" si="1"/>
        <v>6.034320000000001</v>
      </c>
      <c r="H41" s="26">
        <f t="shared" si="11"/>
        <v>0.20114379885600003</v>
      </c>
      <c r="I41" s="26">
        <f t="shared" si="2"/>
        <v>1.5512044091109215E-2</v>
      </c>
      <c r="J41" s="26">
        <f t="shared" si="3"/>
        <v>6.5534897534528756E-3</v>
      </c>
      <c r="K41" s="26">
        <f t="shared" si="4"/>
        <v>5.7684925393713109E-2</v>
      </c>
      <c r="L41" s="26">
        <f t="shared" si="5"/>
        <v>0.16614771250477353</v>
      </c>
      <c r="M41" s="26">
        <f t="shared" si="6"/>
        <v>1.3679723789940994</v>
      </c>
      <c r="N41" s="26">
        <f t="shared" si="7"/>
        <v>5.903139438731829</v>
      </c>
      <c r="O41" s="30">
        <f t="shared" si="12"/>
        <v>2192467.4075304004</v>
      </c>
      <c r="P41" s="30">
        <f t="shared" si="13"/>
        <v>100265.19939170263</v>
      </c>
      <c r="Q41" s="30">
        <f t="shared" si="14"/>
        <v>19001.188191161269</v>
      </c>
      <c r="R41" s="30">
        <f t="shared" si="15"/>
        <v>66020.397113104656</v>
      </c>
      <c r="S41" s="30">
        <f t="shared" si="16"/>
        <v>85117.473116195484</v>
      </c>
      <c r="T41" s="30">
        <f t="shared" si="17"/>
        <v>44732.696793107054</v>
      </c>
      <c r="U41" s="30">
        <f t="shared" si="18"/>
        <v>25973.813530420048</v>
      </c>
      <c r="V41" s="30">
        <f t="shared" si="19"/>
        <v>2533578.1756660915</v>
      </c>
      <c r="W41" s="30">
        <f t="shared" si="8"/>
        <v>1378099</v>
      </c>
    </row>
    <row r="42" spans="2:23" x14ac:dyDescent="0.55000000000000004">
      <c r="B42" s="66">
        <v>4</v>
      </c>
      <c r="C42" s="27">
        <v>2030</v>
      </c>
      <c r="D42" s="29">
        <f t="shared" si="9"/>
        <v>6743.3345405253149</v>
      </c>
      <c r="E42" s="26">
        <f t="shared" si="0"/>
        <v>0.20516667483312004</v>
      </c>
      <c r="F42" s="299">
        <f t="shared" si="10"/>
        <v>1.4826899894689762</v>
      </c>
      <c r="G42" s="26">
        <f t="shared" si="1"/>
        <v>6.1550064000000004</v>
      </c>
      <c r="H42" s="26">
        <f t="shared" si="11"/>
        <v>0.20516667483312004</v>
      </c>
      <c r="I42" s="26">
        <f t="shared" si="2"/>
        <v>1.5515664683109215E-2</v>
      </c>
      <c r="J42" s="26">
        <f t="shared" si="3"/>
        <v>6.5534897534528756E-3</v>
      </c>
      <c r="K42" s="26">
        <f t="shared" si="4"/>
        <v>5.769458030571311E-2</v>
      </c>
      <c r="L42" s="26">
        <f t="shared" si="5"/>
        <v>0.16638667157677353</v>
      </c>
      <c r="M42" s="26">
        <f t="shared" si="6"/>
        <v>1.3767305910420995</v>
      </c>
      <c r="N42" s="26">
        <f t="shared" si="7"/>
        <v>6.0148153921078285</v>
      </c>
      <c r="O42" s="30">
        <f t="shared" si="12"/>
        <v>2236316.7556810086</v>
      </c>
      <c r="P42" s="30">
        <f t="shared" si="13"/>
        <v>100288.60181221303</v>
      </c>
      <c r="Q42" s="30">
        <f t="shared" si="14"/>
        <v>19001.188191161269</v>
      </c>
      <c r="R42" s="30">
        <f t="shared" si="15"/>
        <v>66031.447159888659</v>
      </c>
      <c r="S42" s="30">
        <f t="shared" si="16"/>
        <v>85239.891848781073</v>
      </c>
      <c r="T42" s="30">
        <f t="shared" si="17"/>
        <v>45019.09032707665</v>
      </c>
      <c r="U42" s="30">
        <f t="shared" si="18"/>
        <v>26465.187725274445</v>
      </c>
      <c r="V42" s="30">
        <f t="shared" si="19"/>
        <v>2578362.1627454041</v>
      </c>
      <c r="W42" s="30">
        <f t="shared" si="8"/>
        <v>1310709</v>
      </c>
    </row>
    <row r="43" spans="2:23" x14ac:dyDescent="0.55000000000000004">
      <c r="B43" s="66">
        <v>5</v>
      </c>
      <c r="C43" s="27">
        <v>2031</v>
      </c>
      <c r="D43" s="29">
        <f t="shared" si="9"/>
        <v>6878.2012313358209</v>
      </c>
      <c r="E43" s="26">
        <f t="shared" si="0"/>
        <v>0.20927000832978243</v>
      </c>
      <c r="F43" s="299">
        <f t="shared" si="10"/>
        <v>1.4826899894689762</v>
      </c>
      <c r="G43" s="26">
        <f t="shared" si="1"/>
        <v>6.2781065280000004</v>
      </c>
      <c r="H43" s="26">
        <f t="shared" si="11"/>
        <v>0.20927000832978243</v>
      </c>
      <c r="I43" s="26">
        <f t="shared" si="2"/>
        <v>1.5519357686949214E-2</v>
      </c>
      <c r="J43" s="26">
        <f t="shared" si="3"/>
        <v>6.5534897534528756E-3</v>
      </c>
      <c r="K43" s="26">
        <f t="shared" si="4"/>
        <v>5.7704428315953106E-2</v>
      </c>
      <c r="L43" s="26">
        <f t="shared" si="5"/>
        <v>0.16663040983021352</v>
      </c>
      <c r="M43" s="26">
        <f t="shared" si="6"/>
        <v>1.3856639673310593</v>
      </c>
      <c r="N43" s="26">
        <f t="shared" si="7"/>
        <v>6.1287248645513488</v>
      </c>
      <c r="O43" s="30">
        <f t="shared" si="12"/>
        <v>2281043.0907946285</v>
      </c>
      <c r="P43" s="30">
        <f t="shared" si="13"/>
        <v>100312.47228113364</v>
      </c>
      <c r="Q43" s="30">
        <f t="shared" si="14"/>
        <v>19001.188191161269</v>
      </c>
      <c r="R43" s="30">
        <f t="shared" si="15"/>
        <v>66042.718207608326</v>
      </c>
      <c r="S43" s="30">
        <f t="shared" si="16"/>
        <v>85364.758956018384</v>
      </c>
      <c r="T43" s="30">
        <f t="shared" si="17"/>
        <v>45311.211731725642</v>
      </c>
      <c r="U43" s="30">
        <f t="shared" si="18"/>
        <v>26966.389404025933</v>
      </c>
      <c r="V43" s="30">
        <f t="shared" si="19"/>
        <v>2624041.8295663022</v>
      </c>
      <c r="W43" s="30">
        <f t="shared" si="8"/>
        <v>1246663</v>
      </c>
    </row>
    <row r="44" spans="2:23" x14ac:dyDescent="0.55000000000000004">
      <c r="B44" s="66">
        <v>6</v>
      </c>
      <c r="C44" s="27">
        <v>2032</v>
      </c>
      <c r="D44" s="29">
        <f t="shared" si="9"/>
        <v>7015.7652559625376</v>
      </c>
      <c r="E44" s="26">
        <f t="shared" si="0"/>
        <v>0.21345540849637812</v>
      </c>
      <c r="F44" s="299">
        <f t="shared" si="10"/>
        <v>1.4826899894689762</v>
      </c>
      <c r="G44" s="26">
        <f t="shared" si="1"/>
        <v>6.4036686585600009</v>
      </c>
      <c r="H44" s="26">
        <f t="shared" si="11"/>
        <v>0.21345540849637812</v>
      </c>
      <c r="I44" s="26">
        <f t="shared" si="2"/>
        <v>1.5523124550866015E-2</v>
      </c>
      <c r="J44" s="26">
        <f t="shared" si="3"/>
        <v>6.5534897534528756E-3</v>
      </c>
      <c r="K44" s="26">
        <f t="shared" si="4"/>
        <v>5.7714473286397908E-2</v>
      </c>
      <c r="L44" s="26">
        <f t="shared" si="5"/>
        <v>0.16687902284872233</v>
      </c>
      <c r="M44" s="26">
        <f t="shared" si="6"/>
        <v>1.3947760111457987</v>
      </c>
      <c r="N44" s="26">
        <f t="shared" si="7"/>
        <v>6.2449125264437395</v>
      </c>
      <c r="O44" s="30">
        <f t="shared" si="12"/>
        <v>2326663.9526105216</v>
      </c>
      <c r="P44" s="30">
        <f t="shared" si="13"/>
        <v>100336.82015943267</v>
      </c>
      <c r="Q44" s="30">
        <f t="shared" si="14"/>
        <v>19001.188191161269</v>
      </c>
      <c r="R44" s="30">
        <f t="shared" si="15"/>
        <v>66054.214676282412</v>
      </c>
      <c r="S44" s="30">
        <f t="shared" si="16"/>
        <v>85492.123405400445</v>
      </c>
      <c r="T44" s="30">
        <f t="shared" si="17"/>
        <v>45609.175564467616</v>
      </c>
      <c r="U44" s="30">
        <f t="shared" si="18"/>
        <v>27477.615116352456</v>
      </c>
      <c r="V44" s="30">
        <f t="shared" si="19"/>
        <v>2670635.0897236187</v>
      </c>
      <c r="W44" s="30">
        <f t="shared" si="8"/>
        <v>1185794</v>
      </c>
    </row>
    <row r="45" spans="2:23" x14ac:dyDescent="0.55000000000000004">
      <c r="B45" s="66">
        <v>7</v>
      </c>
      <c r="C45" s="27">
        <v>2033</v>
      </c>
      <c r="D45" s="29">
        <f t="shared" si="9"/>
        <v>7156.0805610817888</v>
      </c>
      <c r="E45" s="26">
        <f t="shared" si="0"/>
        <v>0.21772451666630566</v>
      </c>
      <c r="F45" s="299">
        <f t="shared" si="10"/>
        <v>1.4826899894689762</v>
      </c>
      <c r="G45" s="26">
        <f t="shared" si="1"/>
        <v>6.5317420317312012</v>
      </c>
      <c r="H45" s="26">
        <f t="shared" si="11"/>
        <v>0.21772451666630566</v>
      </c>
      <c r="I45" s="26">
        <f t="shared" si="2"/>
        <v>1.5526966752061151E-2</v>
      </c>
      <c r="J45" s="26">
        <f t="shared" si="3"/>
        <v>6.5534897534528756E-3</v>
      </c>
      <c r="K45" s="26">
        <f t="shared" si="4"/>
        <v>5.7724719156251603E-2</v>
      </c>
      <c r="L45" s="26">
        <f t="shared" si="5"/>
        <v>0.16713260812760131</v>
      </c>
      <c r="M45" s="26">
        <f t="shared" si="6"/>
        <v>1.4040702958368327</v>
      </c>
      <c r="N45" s="26">
        <f t="shared" si="7"/>
        <v>6.3634239415739779</v>
      </c>
      <c r="O45" s="30">
        <f t="shared" si="12"/>
        <v>2373197.2316627316</v>
      </c>
      <c r="P45" s="30">
        <f t="shared" si="13"/>
        <v>100361.65499529766</v>
      </c>
      <c r="Q45" s="30">
        <f t="shared" si="14"/>
        <v>19001.188191161269</v>
      </c>
      <c r="R45" s="30">
        <f t="shared" si="15"/>
        <v>66065.941074329952</v>
      </c>
      <c r="S45" s="30">
        <f t="shared" si="16"/>
        <v>85622.035143770147</v>
      </c>
      <c r="T45" s="30">
        <f t="shared" si="17"/>
        <v>45913.098673864428</v>
      </c>
      <c r="U45" s="30">
        <f t="shared" si="18"/>
        <v>27999.065342925504</v>
      </c>
      <c r="V45" s="30">
        <f t="shared" si="19"/>
        <v>2718160.2150840806</v>
      </c>
      <c r="W45" s="30">
        <f t="shared" si="8"/>
        <v>1127940</v>
      </c>
    </row>
    <row r="46" spans="2:23" x14ac:dyDescent="0.55000000000000004">
      <c r="B46" s="66">
        <v>8</v>
      </c>
      <c r="C46" s="27">
        <v>2034</v>
      </c>
      <c r="D46" s="29">
        <f t="shared" si="9"/>
        <v>7299.202172303425</v>
      </c>
      <c r="E46" s="26">
        <f t="shared" si="0"/>
        <v>0.22207900699963179</v>
      </c>
      <c r="F46" s="299">
        <f t="shared" si="10"/>
        <v>1.4826899894689762</v>
      </c>
      <c r="G46" s="26">
        <f t="shared" si="1"/>
        <v>6.662376872365825</v>
      </c>
      <c r="H46" s="26">
        <f t="shared" si="11"/>
        <v>0.22207900699963179</v>
      </c>
      <c r="I46" s="26">
        <f t="shared" si="2"/>
        <v>1.5530885797280189E-2</v>
      </c>
      <c r="J46" s="26">
        <f t="shared" si="3"/>
        <v>6.5534897534528756E-3</v>
      </c>
      <c r="K46" s="26">
        <f t="shared" si="4"/>
        <v>5.7735169943502376E-2</v>
      </c>
      <c r="L46" s="26">
        <f t="shared" si="5"/>
        <v>0.16739126511205787</v>
      </c>
      <c r="M46" s="26">
        <f t="shared" si="6"/>
        <v>1.4135504662216873</v>
      </c>
      <c r="N46" s="26">
        <f t="shared" si="7"/>
        <v>6.4843055850068207</v>
      </c>
      <c r="O46" s="30">
        <f t="shared" si="12"/>
        <v>2420661.1762959864</v>
      </c>
      <c r="P46" s="30">
        <f t="shared" si="13"/>
        <v>100386.98652787996</v>
      </c>
      <c r="Q46" s="30">
        <f t="shared" si="14"/>
        <v>19001.188191161269</v>
      </c>
      <c r="R46" s="30">
        <f t="shared" si="15"/>
        <v>66077.902000338465</v>
      </c>
      <c r="S46" s="30">
        <f t="shared" si="16"/>
        <v>85754.545116907248</v>
      </c>
      <c r="T46" s="30">
        <f t="shared" si="17"/>
        <v>46223.100245449175</v>
      </c>
      <c r="U46" s="30">
        <f t="shared" si="18"/>
        <v>28530.944574030011</v>
      </c>
      <c r="V46" s="30">
        <f t="shared" si="19"/>
        <v>2766635.8429517527</v>
      </c>
      <c r="W46" s="30">
        <f t="shared" si="8"/>
        <v>1072949</v>
      </c>
    </row>
    <row r="47" spans="2:23" x14ac:dyDescent="0.55000000000000004">
      <c r="B47" s="66">
        <v>9</v>
      </c>
      <c r="C47" s="27">
        <v>2035</v>
      </c>
      <c r="D47" s="29">
        <f t="shared" si="9"/>
        <v>7445.1862157494934</v>
      </c>
      <c r="E47" s="26">
        <f t="shared" si="0"/>
        <v>0.22652058713962445</v>
      </c>
      <c r="F47" s="299">
        <f t="shared" si="10"/>
        <v>1.4826899894689762</v>
      </c>
      <c r="G47" s="26">
        <f t="shared" si="1"/>
        <v>6.7956244098131418</v>
      </c>
      <c r="H47" s="26">
        <f t="shared" si="11"/>
        <v>0.22652058713962445</v>
      </c>
      <c r="I47" s="26">
        <f t="shared" si="2"/>
        <v>1.5534883223403609E-2</v>
      </c>
      <c r="J47" s="26">
        <f t="shared" si="3"/>
        <v>6.5534897534528756E-3</v>
      </c>
      <c r="K47" s="26">
        <f t="shared" si="4"/>
        <v>5.774582974649816E-2</v>
      </c>
      <c r="L47" s="26">
        <f t="shared" si="5"/>
        <v>0.16765509523620353</v>
      </c>
      <c r="M47" s="26">
        <f t="shared" si="6"/>
        <v>1.4232202400142391</v>
      </c>
      <c r="N47" s="26">
        <f t="shared" si="7"/>
        <v>6.6076048613083209</v>
      </c>
      <c r="O47" s="30">
        <f t="shared" si="12"/>
        <v>2469074.3998219064</v>
      </c>
      <c r="P47" s="30">
        <f t="shared" si="13"/>
        <v>100412.82469111391</v>
      </c>
      <c r="Q47" s="30">
        <f t="shared" si="14"/>
        <v>19001.188191161269</v>
      </c>
      <c r="R47" s="30">
        <f t="shared" si="15"/>
        <v>66090.102144867138</v>
      </c>
      <c r="S47" s="30">
        <f t="shared" si="16"/>
        <v>85889.705289507066</v>
      </c>
      <c r="T47" s="30">
        <f t="shared" si="17"/>
        <v>46539.30184846562</v>
      </c>
      <c r="U47" s="30">
        <f t="shared" si="18"/>
        <v>29073.461389756612</v>
      </c>
      <c r="V47" s="30">
        <f t="shared" si="19"/>
        <v>2816080.9833767787</v>
      </c>
      <c r="W47" s="30">
        <f t="shared" si="8"/>
        <v>1020677</v>
      </c>
    </row>
    <row r="48" spans="2:23" x14ac:dyDescent="0.55000000000000004">
      <c r="B48" s="66">
        <v>10</v>
      </c>
      <c r="C48" s="27">
        <v>2036</v>
      </c>
      <c r="D48" s="29">
        <f t="shared" si="9"/>
        <v>7594.089940064483</v>
      </c>
      <c r="E48" s="26">
        <f t="shared" si="0"/>
        <v>0.2310509988824169</v>
      </c>
      <c r="F48" s="299">
        <f t="shared" si="10"/>
        <v>1.4826899894689762</v>
      </c>
      <c r="G48" s="26">
        <f t="shared" si="1"/>
        <v>6.9315368980094041</v>
      </c>
      <c r="H48" s="26">
        <f t="shared" si="11"/>
        <v>0.2310509988824169</v>
      </c>
      <c r="I48" s="26">
        <f t="shared" si="2"/>
        <v>1.5538960598049496E-2</v>
      </c>
      <c r="J48" s="26">
        <f t="shared" si="3"/>
        <v>6.5534897534528756E-3</v>
      </c>
      <c r="K48" s="26">
        <f t="shared" si="4"/>
        <v>5.7756702745553862E-2</v>
      </c>
      <c r="L48" s="26">
        <f t="shared" si="5"/>
        <v>0.16792420196283214</v>
      </c>
      <c r="M48" s="26">
        <f t="shared" si="6"/>
        <v>1.4330834092826419</v>
      </c>
      <c r="N48" s="26">
        <f t="shared" si="7"/>
        <v>6.7333701231358507</v>
      </c>
      <c r="O48" s="30">
        <f t="shared" si="12"/>
        <v>2518455.8878183444</v>
      </c>
      <c r="P48" s="30">
        <f t="shared" si="13"/>
        <v>100439.17961761254</v>
      </c>
      <c r="Q48" s="30">
        <f t="shared" si="14"/>
        <v>19001.188191161269</v>
      </c>
      <c r="R48" s="30">
        <f t="shared" si="15"/>
        <v>66102.546292286395</v>
      </c>
      <c r="S48" s="30">
        <f t="shared" si="16"/>
        <v>86027.568665558909</v>
      </c>
      <c r="T48" s="30">
        <f t="shared" si="17"/>
        <v>46861.827483542387</v>
      </c>
      <c r="U48" s="30">
        <f t="shared" si="18"/>
        <v>29626.828541797742</v>
      </c>
      <c r="V48" s="30">
        <f t="shared" si="19"/>
        <v>2866515.0266103037</v>
      </c>
      <c r="W48" s="30">
        <f t="shared" si="8"/>
        <v>970988</v>
      </c>
    </row>
    <row r="49" spans="2:23" x14ac:dyDescent="0.55000000000000004">
      <c r="B49" s="66">
        <v>11</v>
      </c>
      <c r="C49" s="27">
        <v>2037</v>
      </c>
      <c r="D49" s="29">
        <f t="shared" si="9"/>
        <v>7745.9717388657727</v>
      </c>
      <c r="E49" s="26">
        <f t="shared" si="0"/>
        <v>0.23567201886006522</v>
      </c>
      <c r="F49" s="299">
        <f t="shared" si="10"/>
        <v>1.4826899894689762</v>
      </c>
      <c r="G49" s="26">
        <f t="shared" si="1"/>
        <v>7.0701676359695922</v>
      </c>
      <c r="H49" s="26">
        <f t="shared" si="11"/>
        <v>0.23567201886006522</v>
      </c>
      <c r="I49" s="26">
        <f t="shared" si="2"/>
        <v>1.5543119520188301E-2</v>
      </c>
      <c r="J49" s="26">
        <f t="shared" si="3"/>
        <v>6.5534897534528756E-3</v>
      </c>
      <c r="K49" s="26">
        <f t="shared" si="4"/>
        <v>5.7767793204590676E-2</v>
      </c>
      <c r="L49" s="26">
        <f t="shared" si="5"/>
        <v>0.16819869082399333</v>
      </c>
      <c r="M49" s="26">
        <f t="shared" si="6"/>
        <v>1.4431438419364127</v>
      </c>
      <c r="N49" s="26">
        <f t="shared" si="7"/>
        <v>6.861650690199931</v>
      </c>
      <c r="O49" s="30">
        <f t="shared" si="12"/>
        <v>2568825.0055747111</v>
      </c>
      <c r="P49" s="30">
        <f t="shared" si="13"/>
        <v>100466.06164264113</v>
      </c>
      <c r="Q49" s="30">
        <f t="shared" si="14"/>
        <v>19001.188191161269</v>
      </c>
      <c r="R49" s="30">
        <f t="shared" si="15"/>
        <v>66115.23932265403</v>
      </c>
      <c r="S49" s="30">
        <f t="shared" si="16"/>
        <v>86168.189309131776</v>
      </c>
      <c r="T49" s="30">
        <f t="shared" si="17"/>
        <v>47190.80363132069</v>
      </c>
      <c r="U49" s="30">
        <f t="shared" si="18"/>
        <v>30191.263036879696</v>
      </c>
      <c r="V49" s="30">
        <f t="shared" si="19"/>
        <v>2917957.7507084999</v>
      </c>
      <c r="W49" s="30">
        <f t="shared" si="8"/>
        <v>923751</v>
      </c>
    </row>
    <row r="50" spans="2:23" x14ac:dyDescent="0.55000000000000004">
      <c r="B50" s="66">
        <v>12</v>
      </c>
      <c r="C50" s="27">
        <v>2038</v>
      </c>
      <c r="D50" s="29">
        <f t="shared" si="9"/>
        <v>7900.8911736430882</v>
      </c>
      <c r="E50" s="26">
        <f t="shared" si="0"/>
        <v>0.24038545923726656</v>
      </c>
      <c r="F50" s="299">
        <f t="shared" si="10"/>
        <v>1.4826899894689762</v>
      </c>
      <c r="G50" s="26">
        <f t="shared" si="1"/>
        <v>7.2115709886889841</v>
      </c>
      <c r="H50" s="26">
        <f t="shared" si="11"/>
        <v>0.24038545923726656</v>
      </c>
      <c r="I50" s="26">
        <f t="shared" si="2"/>
        <v>1.5547361620769884E-2</v>
      </c>
      <c r="J50" s="26">
        <f t="shared" si="3"/>
        <v>6.5534897534528756E-3</v>
      </c>
      <c r="K50" s="26">
        <f t="shared" si="4"/>
        <v>5.7779105472808227E-2</v>
      </c>
      <c r="L50" s="26">
        <f t="shared" si="5"/>
        <v>0.16847866946237772</v>
      </c>
      <c r="M50" s="26">
        <f t="shared" si="6"/>
        <v>1.4534054832432588</v>
      </c>
      <c r="N50" s="26">
        <f t="shared" si="7"/>
        <v>6.9924968686052926</v>
      </c>
      <c r="O50" s="30">
        <f t="shared" si="12"/>
        <v>2620201.5056862053</v>
      </c>
      <c r="P50" s="30">
        <f t="shared" si="13"/>
        <v>100493.4813081703</v>
      </c>
      <c r="Q50" s="30">
        <f t="shared" si="14"/>
        <v>19001.188191161269</v>
      </c>
      <c r="R50" s="30">
        <f t="shared" si="15"/>
        <v>66128.186213629015</v>
      </c>
      <c r="S50" s="30">
        <f t="shared" si="16"/>
        <v>86311.622365576099</v>
      </c>
      <c r="T50" s="30">
        <f t="shared" si="17"/>
        <v>47526.35930205456</v>
      </c>
      <c r="U50" s="30">
        <f t="shared" si="18"/>
        <v>30766.986221863288</v>
      </c>
      <c r="V50" s="30">
        <f t="shared" si="19"/>
        <v>2970429.3292886601</v>
      </c>
      <c r="W50" s="30">
        <f t="shared" si="8"/>
        <v>878843</v>
      </c>
    </row>
    <row r="51" spans="2:23" x14ac:dyDescent="0.55000000000000004">
      <c r="B51" s="66">
        <v>13</v>
      </c>
      <c r="C51" s="27">
        <v>2039</v>
      </c>
      <c r="D51" s="29">
        <f t="shared" si="9"/>
        <v>8058.9089971159501</v>
      </c>
      <c r="E51" s="26">
        <f t="shared" si="0"/>
        <v>0.24519316842201186</v>
      </c>
      <c r="F51" s="299">
        <f t="shared" si="10"/>
        <v>1.4826899894689762</v>
      </c>
      <c r="G51" s="26">
        <f t="shared" si="1"/>
        <v>7.3558024084627638</v>
      </c>
      <c r="H51" s="26">
        <f t="shared" si="11"/>
        <v>0.24519316842201186</v>
      </c>
      <c r="I51" s="26">
        <f t="shared" si="2"/>
        <v>1.5551688563363097E-2</v>
      </c>
      <c r="J51" s="26">
        <f t="shared" si="3"/>
        <v>6.5534897534528756E-3</v>
      </c>
      <c r="K51" s="26">
        <f t="shared" si="4"/>
        <v>5.7790643986390132E-2</v>
      </c>
      <c r="L51" s="26">
        <f t="shared" si="5"/>
        <v>0.16876424767352979</v>
      </c>
      <c r="M51" s="26">
        <f t="shared" si="6"/>
        <v>1.4638723573762422</v>
      </c>
      <c r="N51" s="26">
        <f t="shared" si="7"/>
        <v>7.1259599705787622</v>
      </c>
      <c r="O51" s="30">
        <f t="shared" si="12"/>
        <v>2672605.5357999294</v>
      </c>
      <c r="P51" s="30">
        <f t="shared" si="13"/>
        <v>100521.44936701005</v>
      </c>
      <c r="Q51" s="30">
        <f t="shared" si="14"/>
        <v>19001.188191161269</v>
      </c>
      <c r="R51" s="30">
        <f t="shared" si="15"/>
        <v>66141.392042423511</v>
      </c>
      <c r="S51" s="30">
        <f t="shared" si="16"/>
        <v>86457.924083149308</v>
      </c>
      <c r="T51" s="30">
        <f t="shared" si="17"/>
        <v>47868.626086203119</v>
      </c>
      <c r="U51" s="30">
        <f t="shared" si="18"/>
        <v>31354.223870546553</v>
      </c>
      <c r="V51" s="30">
        <f t="shared" si="19"/>
        <v>3023950.3394404235</v>
      </c>
      <c r="W51" s="30">
        <f t="shared" si="8"/>
        <v>836147</v>
      </c>
    </row>
    <row r="52" spans="2:23" x14ac:dyDescent="0.55000000000000004">
      <c r="B52" s="66">
        <v>14</v>
      </c>
      <c r="C52" s="27">
        <v>2040</v>
      </c>
      <c r="D52" s="29">
        <f t="shared" si="9"/>
        <v>8220.0871770582689</v>
      </c>
      <c r="E52" s="26">
        <f t="shared" si="0"/>
        <v>0.25009703179045212</v>
      </c>
      <c r="F52" s="299">
        <f t="shared" si="10"/>
        <v>1.4826899894689762</v>
      </c>
      <c r="G52" s="26">
        <f t="shared" si="1"/>
        <v>7.5029184566320195</v>
      </c>
      <c r="H52" s="26">
        <f t="shared" si="11"/>
        <v>0.25009703179045212</v>
      </c>
      <c r="I52" s="26">
        <f t="shared" si="2"/>
        <v>1.5556102044808175E-2</v>
      </c>
      <c r="J52" s="26">
        <f t="shared" si="3"/>
        <v>6.5534897534528756E-3</v>
      </c>
      <c r="K52" s="26">
        <f t="shared" si="4"/>
        <v>5.7802413270243672E-2</v>
      </c>
      <c r="L52" s="26">
        <f t="shared" si="5"/>
        <v>0.16905553744890492</v>
      </c>
      <c r="M52" s="26">
        <f t="shared" si="6"/>
        <v>1.4745485689918851</v>
      </c>
      <c r="N52" s="26">
        <f t="shared" si="7"/>
        <v>7.2620923345917019</v>
      </c>
      <c r="O52" s="30">
        <f t="shared" si="12"/>
        <v>2726057.6465159282</v>
      </c>
      <c r="P52" s="30">
        <f t="shared" si="13"/>
        <v>100549.97678702661</v>
      </c>
      <c r="Q52" s="30">
        <f t="shared" si="14"/>
        <v>19001.188191161269</v>
      </c>
      <c r="R52" s="30">
        <f t="shared" si="15"/>
        <v>66154.861987793876</v>
      </c>
      <c r="S52" s="30">
        <f t="shared" si="16"/>
        <v>86607.151835073993</v>
      </c>
      <c r="T52" s="30">
        <f t="shared" si="17"/>
        <v>48217.738206034643</v>
      </c>
      <c r="U52" s="30">
        <f t="shared" si="18"/>
        <v>31953.20627220349</v>
      </c>
      <c r="V52" s="30">
        <f t="shared" si="19"/>
        <v>3078541.7697952222</v>
      </c>
      <c r="W52" s="30">
        <f t="shared" si="8"/>
        <v>795554</v>
      </c>
    </row>
    <row r="53" spans="2:23" x14ac:dyDescent="0.55000000000000004">
      <c r="B53" s="66">
        <v>15</v>
      </c>
      <c r="C53" s="27">
        <v>2041</v>
      </c>
      <c r="D53" s="29">
        <f t="shared" si="9"/>
        <v>8384.488920599435</v>
      </c>
      <c r="E53" s="26">
        <f t="shared" si="0"/>
        <v>0.25509897242626117</v>
      </c>
      <c r="F53" s="299">
        <f t="shared" si="10"/>
        <v>1.4826899894689762</v>
      </c>
      <c r="G53" s="26">
        <f t="shared" si="1"/>
        <v>7.65297682576466</v>
      </c>
      <c r="H53" s="26">
        <f t="shared" si="11"/>
        <v>0.25509897242626117</v>
      </c>
      <c r="I53" s="26">
        <f t="shared" si="2"/>
        <v>1.5560603795882155E-2</v>
      </c>
      <c r="J53" s="26">
        <f t="shared" si="3"/>
        <v>6.5534897534528756E-3</v>
      </c>
      <c r="K53" s="26">
        <f t="shared" si="4"/>
        <v>5.7814417939774279E-2</v>
      </c>
      <c r="L53" s="26">
        <f t="shared" si="5"/>
        <v>0.16935265301978755</v>
      </c>
      <c r="M53" s="26">
        <f t="shared" si="6"/>
        <v>1.4854383048398407</v>
      </c>
      <c r="N53" s="26">
        <f t="shared" si="7"/>
        <v>7.4009473458848989</v>
      </c>
      <c r="O53" s="30">
        <f t="shared" si="12"/>
        <v>2780578.7994462466</v>
      </c>
      <c r="P53" s="30">
        <f t="shared" si="13"/>
        <v>100579.07475544348</v>
      </c>
      <c r="Q53" s="30">
        <f t="shared" si="14"/>
        <v>19001.188191161269</v>
      </c>
      <c r="R53" s="30">
        <f t="shared" si="15"/>
        <v>66168.601332071659</v>
      </c>
      <c r="S53" s="30">
        <f t="shared" si="16"/>
        <v>86759.364142037157</v>
      </c>
      <c r="T53" s="30">
        <f t="shared" si="17"/>
        <v>48573.832568262791</v>
      </c>
      <c r="U53" s="30">
        <f t="shared" si="18"/>
        <v>32564.168321893554</v>
      </c>
      <c r="V53" s="30">
        <f t="shared" si="19"/>
        <v>3134225.0287571163</v>
      </c>
      <c r="W53" s="30">
        <f t="shared" si="8"/>
        <v>756956</v>
      </c>
    </row>
    <row r="54" spans="2:23" x14ac:dyDescent="0.55000000000000004">
      <c r="B54" s="66">
        <v>16</v>
      </c>
      <c r="C54" s="27">
        <v>2042</v>
      </c>
      <c r="D54" s="29">
        <f t="shared" si="9"/>
        <v>8552.1786990114233</v>
      </c>
      <c r="E54" s="26">
        <f t="shared" si="0"/>
        <v>0.26020095187478637</v>
      </c>
      <c r="F54" s="299">
        <f t="shared" si="10"/>
        <v>1.4826899894689762</v>
      </c>
      <c r="G54" s="26">
        <f t="shared" si="1"/>
        <v>7.8060363622799533</v>
      </c>
      <c r="H54" s="26">
        <f t="shared" si="11"/>
        <v>0.26020095187478637</v>
      </c>
      <c r="I54" s="26">
        <f t="shared" si="2"/>
        <v>1.5565195581977612E-2</v>
      </c>
      <c r="J54" s="26">
        <f t="shared" si="3"/>
        <v>6.5534897534528756E-3</v>
      </c>
      <c r="K54" s="26">
        <f t="shared" si="4"/>
        <v>5.7826662702695507E-2</v>
      </c>
      <c r="L54" s="26">
        <f t="shared" si="5"/>
        <v>0.16965571090208784</v>
      </c>
      <c r="M54" s="26">
        <f t="shared" si="6"/>
        <v>1.4965458354047556</v>
      </c>
      <c r="N54" s="26">
        <f t="shared" si="7"/>
        <v>7.5425794574039609</v>
      </c>
      <c r="O54" s="30">
        <f t="shared" si="12"/>
        <v>2836190.3754351712</v>
      </c>
      <c r="P54" s="30">
        <f t="shared" si="13"/>
        <v>100608.75468322869</v>
      </c>
      <c r="Q54" s="30">
        <f t="shared" si="14"/>
        <v>19001.188191161269</v>
      </c>
      <c r="R54" s="30">
        <f t="shared" si="15"/>
        <v>66182.615463235008</v>
      </c>
      <c r="S54" s="30">
        <f t="shared" si="16"/>
        <v>86914.620695139602</v>
      </c>
      <c r="T54" s="30">
        <f t="shared" si="17"/>
        <v>48937.048817735507</v>
      </c>
      <c r="U54" s="30">
        <f t="shared" si="18"/>
        <v>33187.349612577425</v>
      </c>
      <c r="V54" s="30">
        <f t="shared" si="19"/>
        <v>3191021.952898249</v>
      </c>
      <c r="W54" s="30">
        <f t="shared" si="8"/>
        <v>720256</v>
      </c>
    </row>
    <row r="55" spans="2:23" x14ac:dyDescent="0.55000000000000004">
      <c r="B55" s="66">
        <v>17</v>
      </c>
      <c r="C55" s="27">
        <v>2043</v>
      </c>
      <c r="D55" s="29">
        <f t="shared" si="9"/>
        <v>8723.2222729916521</v>
      </c>
      <c r="E55" s="26">
        <f t="shared" si="0"/>
        <v>0.2654049709122821</v>
      </c>
      <c r="F55" s="299">
        <f t="shared" si="10"/>
        <v>1.4826899894689762</v>
      </c>
      <c r="G55" s="26">
        <f t="shared" si="1"/>
        <v>7.9621570895255527</v>
      </c>
      <c r="H55" s="26">
        <f t="shared" si="11"/>
        <v>0.2654049709122821</v>
      </c>
      <c r="I55" s="26">
        <f t="shared" si="2"/>
        <v>1.5569879203794981E-2</v>
      </c>
      <c r="J55" s="26">
        <f t="shared" si="3"/>
        <v>6.5534897534528756E-3</v>
      </c>
      <c r="K55" s="26">
        <f t="shared" si="4"/>
        <v>5.7839152360875154E-2</v>
      </c>
      <c r="L55" s="26">
        <f t="shared" si="5"/>
        <v>0.16996482994203413</v>
      </c>
      <c r="M55" s="26">
        <f t="shared" si="6"/>
        <v>1.5078755165809687</v>
      </c>
      <c r="N55" s="26">
        <f t="shared" si="7"/>
        <v>7.6870442111534034</v>
      </c>
      <c r="O55" s="30">
        <f t="shared" si="12"/>
        <v>2892914.182943875</v>
      </c>
      <c r="P55" s="30">
        <f t="shared" si="13"/>
        <v>100639.02820956962</v>
      </c>
      <c r="Q55" s="30">
        <f t="shared" si="14"/>
        <v>19001.188191161269</v>
      </c>
      <c r="R55" s="30">
        <f t="shared" si="15"/>
        <v>66196.909877021608</v>
      </c>
      <c r="S55" s="30">
        <f t="shared" si="16"/>
        <v>87072.982379304085</v>
      </c>
      <c r="T55" s="30">
        <f t="shared" si="17"/>
        <v>49307.529392197677</v>
      </c>
      <c r="U55" s="30">
        <f t="shared" si="18"/>
        <v>33822.994529074975</v>
      </c>
      <c r="V55" s="30">
        <f t="shared" si="19"/>
        <v>3248954.8155222046</v>
      </c>
      <c r="W55" s="30">
        <f t="shared" si="8"/>
        <v>685357</v>
      </c>
    </row>
    <row r="56" spans="2:23" x14ac:dyDescent="0.55000000000000004">
      <c r="B56" s="66">
        <v>18</v>
      </c>
      <c r="C56" s="27">
        <v>2044</v>
      </c>
      <c r="D56" s="29">
        <f t="shared" si="9"/>
        <v>8897.6867184514849</v>
      </c>
      <c r="E56" s="26">
        <f t="shared" si="0"/>
        <v>0.27071307033052777</v>
      </c>
      <c r="F56" s="299">
        <f t="shared" si="10"/>
        <v>1.4826899894689762</v>
      </c>
      <c r="G56" s="26">
        <f t="shared" si="1"/>
        <v>8.1214002313160627</v>
      </c>
      <c r="H56" s="26">
        <f t="shared" si="11"/>
        <v>0.27071307033052777</v>
      </c>
      <c r="I56" s="26">
        <f t="shared" si="2"/>
        <v>1.5574656498048697E-2</v>
      </c>
      <c r="J56" s="26">
        <f t="shared" si="3"/>
        <v>6.5534897534528756E-3</v>
      </c>
      <c r="K56" s="26">
        <f t="shared" si="4"/>
        <v>5.7851891812218392E-2</v>
      </c>
      <c r="L56" s="26">
        <f t="shared" si="5"/>
        <v>0.17028013136277934</v>
      </c>
      <c r="M56" s="26">
        <f t="shared" si="6"/>
        <v>1.5194317913807061</v>
      </c>
      <c r="N56" s="26">
        <f t="shared" si="7"/>
        <v>7.8343982599778341</v>
      </c>
      <c r="O56" s="30">
        <f t="shared" si="12"/>
        <v>2950772.4666027529</v>
      </c>
      <c r="P56" s="30">
        <f t="shared" si="13"/>
        <v>100669.90720643736</v>
      </c>
      <c r="Q56" s="30">
        <f t="shared" si="14"/>
        <v>19001.188191161269</v>
      </c>
      <c r="R56" s="30">
        <f t="shared" si="15"/>
        <v>66211.49017908395</v>
      </c>
      <c r="S56" s="30">
        <f t="shared" si="16"/>
        <v>87234.511297151854</v>
      </c>
      <c r="T56" s="30">
        <f t="shared" si="17"/>
        <v>49685.419578149085</v>
      </c>
      <c r="U56" s="30">
        <f t="shared" si="18"/>
        <v>34471.352343902472</v>
      </c>
      <c r="V56" s="30">
        <f t="shared" si="19"/>
        <v>3308046.3353986391</v>
      </c>
      <c r="W56" s="30">
        <f t="shared" si="8"/>
        <v>652170</v>
      </c>
    </row>
    <row r="57" spans="2:23" x14ac:dyDescent="0.55000000000000004">
      <c r="B57" s="66">
        <v>19</v>
      </c>
      <c r="C57" s="27">
        <v>2045</v>
      </c>
      <c r="D57" s="29">
        <f t="shared" si="9"/>
        <v>9075.6404528205148</v>
      </c>
      <c r="E57" s="26">
        <f t="shared" si="0"/>
        <v>0.27612733173713833</v>
      </c>
      <c r="F57" s="299">
        <f t="shared" si="10"/>
        <v>1.4826899894689762</v>
      </c>
      <c r="G57" s="26">
        <f t="shared" si="1"/>
        <v>8.2838282359423854</v>
      </c>
      <c r="H57" s="26">
        <f t="shared" si="11"/>
        <v>0.27612733173713833</v>
      </c>
      <c r="I57" s="26">
        <f t="shared" si="2"/>
        <v>1.5579529338187487E-2</v>
      </c>
      <c r="J57" s="26">
        <f t="shared" si="3"/>
        <v>6.5534897534528756E-3</v>
      </c>
      <c r="K57" s="26">
        <f t="shared" si="4"/>
        <v>5.78648860525885E-2</v>
      </c>
      <c r="L57" s="26">
        <f t="shared" si="5"/>
        <v>0.17060173881193946</v>
      </c>
      <c r="M57" s="26">
        <f t="shared" si="6"/>
        <v>1.5312191916764384</v>
      </c>
      <c r="N57" s="26">
        <f t="shared" si="7"/>
        <v>7.984699389778755</v>
      </c>
      <c r="O57" s="30">
        <f t="shared" si="12"/>
        <v>3009787.9159348076</v>
      </c>
      <c r="P57" s="30">
        <f t="shared" si="13"/>
        <v>100701.40378324245</v>
      </c>
      <c r="Q57" s="30">
        <f t="shared" si="14"/>
        <v>19001.188191161269</v>
      </c>
      <c r="R57" s="30">
        <f t="shared" si="15"/>
        <v>66226.362087187532</v>
      </c>
      <c r="S57" s="30">
        <f t="shared" si="16"/>
        <v>87399.270793356583</v>
      </c>
      <c r="T57" s="30">
        <f t="shared" si="17"/>
        <v>50070.867567819536</v>
      </c>
      <c r="U57" s="30">
        <f t="shared" si="18"/>
        <v>35132.677315026522</v>
      </c>
      <c r="V57" s="30">
        <f t="shared" si="19"/>
        <v>3368319.6856726012</v>
      </c>
      <c r="W57" s="30">
        <f t="shared" si="8"/>
        <v>620610</v>
      </c>
    </row>
    <row r="58" spans="2:23" x14ac:dyDescent="0.55000000000000004">
      <c r="B58" s="66">
        <v>20</v>
      </c>
      <c r="C58" s="27">
        <v>2046</v>
      </c>
      <c r="D58" s="29">
        <f t="shared" si="9"/>
        <v>9257.1532618769252</v>
      </c>
      <c r="E58" s="26">
        <f t="shared" si="0"/>
        <v>0.28164987837188105</v>
      </c>
      <c r="F58" s="299">
        <f t="shared" si="10"/>
        <v>1.4826899894689762</v>
      </c>
      <c r="G58" s="26">
        <f t="shared" si="1"/>
        <v>8.4495048006612326</v>
      </c>
      <c r="H58" s="26">
        <f t="shared" si="11"/>
        <v>0.28164987837188105</v>
      </c>
      <c r="I58" s="26">
        <f t="shared" si="2"/>
        <v>1.5584499635129052E-2</v>
      </c>
      <c r="J58" s="26">
        <f t="shared" si="3"/>
        <v>6.5534897534528756E-3</v>
      </c>
      <c r="K58" s="26">
        <f t="shared" si="4"/>
        <v>5.7878140177766005E-2</v>
      </c>
      <c r="L58" s="26">
        <f t="shared" si="5"/>
        <v>0.17092977841008278</v>
      </c>
      <c r="M58" s="26">
        <f t="shared" si="6"/>
        <v>1.543242339978085</v>
      </c>
      <c r="N58" s="26">
        <f t="shared" si="7"/>
        <v>8.1380065421756935</v>
      </c>
      <c r="O58" s="30">
        <f t="shared" si="12"/>
        <v>3069983.6742535033</v>
      </c>
      <c r="P58" s="30">
        <f t="shared" si="13"/>
        <v>100733.53029158365</v>
      </c>
      <c r="Q58" s="30">
        <f t="shared" si="14"/>
        <v>19001.188191161269</v>
      </c>
      <c r="R58" s="30">
        <f t="shared" si="15"/>
        <v>66241.531433453187</v>
      </c>
      <c r="S58" s="30">
        <f t="shared" si="16"/>
        <v>87567.3254794854</v>
      </c>
      <c r="T58" s="30">
        <f t="shared" si="17"/>
        <v>50464.024517283382</v>
      </c>
      <c r="U58" s="30">
        <f t="shared" si="18"/>
        <v>35807.228785573054</v>
      </c>
      <c r="V58" s="30">
        <f t="shared" si="19"/>
        <v>3429798.5029520439</v>
      </c>
      <c r="W58" s="30">
        <f t="shared" si="8"/>
        <v>590596</v>
      </c>
    </row>
    <row r="59" spans="2:23" ht="14.7" thickBot="1" x14ac:dyDescent="0.6">
      <c r="T59" s="26"/>
      <c r="U59" s="26"/>
      <c r="V59" s="26"/>
      <c r="W59" s="26"/>
    </row>
    <row r="60" spans="2:23" ht="29.4" thickTop="1" thickBot="1" x14ac:dyDescent="0.6">
      <c r="T60" s="26"/>
      <c r="U60" s="744" t="s">
        <v>462</v>
      </c>
      <c r="V60" s="745">
        <f>SUM(V39:V58)</f>
        <v>58181554.477838978</v>
      </c>
      <c r="W60" s="746">
        <f>SUM(W39:W58)</f>
        <v>19746708</v>
      </c>
    </row>
    <row r="61" spans="2:23" ht="14.7" thickTop="1" x14ac:dyDescent="0.55000000000000004"/>
  </sheetData>
  <mergeCells count="6">
    <mergeCell ref="H37:N37"/>
    <mergeCell ref="O37:V37"/>
    <mergeCell ref="D6:E6"/>
    <mergeCell ref="D7:E7"/>
    <mergeCell ref="D9:E9"/>
    <mergeCell ref="D8:E8"/>
  </mergeCells>
  <hyperlinks>
    <hyperlink ref="E35" r:id="rId1" xr:uid="{29E217E8-D338-4485-814E-C96D756A7464}"/>
  </hyperlinks>
  <pageMargins left="0.7" right="0.7" top="0.75" bottom="0.75" header="0.3" footer="0.3"/>
  <pageSetup orientation="portrait" r:id="rId2"/>
  <tableParts count="2">
    <tablePart r:id="rId3"/>
    <tablePart r:id="rId4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6DA3C-8FB2-4037-AF4F-61A33BDF1E1C}">
  <sheetPr>
    <tabColor rgb="FFFFC000"/>
  </sheetPr>
  <dimension ref="A1:W58"/>
  <sheetViews>
    <sheetView workbookViewId="0">
      <selection activeCell="D25" sqref="D25"/>
    </sheetView>
  </sheetViews>
  <sheetFormatPr defaultRowHeight="14.4" x14ac:dyDescent="0.55000000000000004"/>
  <cols>
    <col min="2" max="2" width="28.41796875" customWidth="1"/>
    <col min="3" max="3" width="14" customWidth="1"/>
    <col min="4" max="4" width="21.578125" customWidth="1"/>
    <col min="5" max="5" width="18.41796875" customWidth="1"/>
    <col min="6" max="6" width="17.15625" customWidth="1"/>
    <col min="7" max="7" width="17.41796875" customWidth="1"/>
    <col min="8" max="8" width="9.83984375" customWidth="1"/>
    <col min="15" max="22" width="20.15625" customWidth="1"/>
    <col min="23" max="23" width="26.26171875" customWidth="1"/>
  </cols>
  <sheetData>
    <row r="1" spans="1:21" ht="15.6" x14ac:dyDescent="0.6">
      <c r="A1" s="743" t="s">
        <v>460</v>
      </c>
    </row>
    <row r="2" spans="1:21" x14ac:dyDescent="0.55000000000000004">
      <c r="B2" s="10" t="s">
        <v>71</v>
      </c>
    </row>
    <row r="3" spans="1:21" x14ac:dyDescent="0.55000000000000004">
      <c r="B3" t="s">
        <v>72</v>
      </c>
    </row>
    <row r="4" spans="1:21" x14ac:dyDescent="0.55000000000000004">
      <c r="B4" s="11" t="s">
        <v>5</v>
      </c>
    </row>
    <row r="5" spans="1:21" ht="14.7" thickBot="1" x14ac:dyDescent="0.6">
      <c r="B5" s="11"/>
    </row>
    <row r="6" spans="1:21" ht="14.7" thickTop="1" x14ac:dyDescent="0.55000000000000004">
      <c r="B6" s="566" t="s">
        <v>250</v>
      </c>
      <c r="C6" s="769">
        <f>'CRASH SUMMARY'!D19</f>
        <v>0.83973379252794356</v>
      </c>
      <c r="D6" s="947" t="s">
        <v>466</v>
      </c>
      <c r="E6" s="948"/>
      <c r="F6" s="23"/>
    </row>
    <row r="7" spans="1:21" x14ac:dyDescent="0.55000000000000004">
      <c r="B7" s="568" t="s">
        <v>467</v>
      </c>
      <c r="C7" s="770">
        <f>'CRASH SUMMARY'!D8</f>
        <v>6354.3947468595361</v>
      </c>
      <c r="D7" s="951" t="s">
        <v>465</v>
      </c>
      <c r="E7" s="952"/>
    </row>
    <row r="8" spans="1:21" x14ac:dyDescent="0.55000000000000004">
      <c r="B8" s="756" t="s">
        <v>261</v>
      </c>
      <c r="C8" s="757">
        <v>0.02</v>
      </c>
      <c r="D8" s="951" t="s">
        <v>262</v>
      </c>
      <c r="E8" s="952"/>
    </row>
    <row r="9" spans="1:21" x14ac:dyDescent="0.55000000000000004">
      <c r="B9" s="756" t="s">
        <v>263</v>
      </c>
      <c r="C9" s="388">
        <v>7.0000000000000007E-2</v>
      </c>
      <c r="D9" s="951"/>
      <c r="E9" s="952"/>
    </row>
    <row r="10" spans="1:21" ht="14.7" thickBot="1" x14ac:dyDescent="0.6">
      <c r="B10" s="578" t="s">
        <v>235</v>
      </c>
      <c r="C10" s="389">
        <v>2020</v>
      </c>
      <c r="D10" s="953"/>
      <c r="E10" s="954"/>
    </row>
    <row r="11" spans="1:21" ht="14.7" thickTop="1" x14ac:dyDescent="0.55000000000000004"/>
    <row r="12" spans="1:21" ht="43.2" x14ac:dyDescent="0.55000000000000004">
      <c r="B12" s="66" t="s">
        <v>259</v>
      </c>
      <c r="C12" s="205" t="s">
        <v>251</v>
      </c>
      <c r="D12" s="205" t="s">
        <v>254</v>
      </c>
      <c r="U12" s="48"/>
    </row>
    <row r="13" spans="1:21" x14ac:dyDescent="0.55000000000000004">
      <c r="B13" s="9" t="s">
        <v>255</v>
      </c>
      <c r="C13" s="297">
        <v>3.3333300000000003E-2</v>
      </c>
      <c r="D13" s="298">
        <v>11600000</v>
      </c>
      <c r="U13" s="48"/>
    </row>
    <row r="14" spans="1:21" x14ac:dyDescent="0.55000000000000004">
      <c r="B14" s="9" t="s">
        <v>256</v>
      </c>
      <c r="C14" s="297">
        <v>0.23333300000000001</v>
      </c>
      <c r="D14" s="298">
        <v>554800</v>
      </c>
      <c r="K14" s="26"/>
      <c r="U14" s="48"/>
    </row>
    <row r="15" spans="1:21" x14ac:dyDescent="0.55000000000000004">
      <c r="B15" s="9" t="s">
        <v>257</v>
      </c>
      <c r="C15" s="297">
        <v>0.63333300000000003</v>
      </c>
      <c r="D15" s="298">
        <v>151100</v>
      </c>
      <c r="K15" s="26"/>
      <c r="U15" s="48"/>
    </row>
    <row r="16" spans="1:21" x14ac:dyDescent="0.55000000000000004">
      <c r="B16" s="9" t="s">
        <v>260</v>
      </c>
      <c r="C16" s="297">
        <v>0</v>
      </c>
      <c r="D16" s="298">
        <v>77200</v>
      </c>
      <c r="K16" s="26"/>
      <c r="U16" s="48"/>
    </row>
    <row r="17" spans="2:23" x14ac:dyDescent="0.55000000000000004">
      <c r="B17" s="9" t="s">
        <v>258</v>
      </c>
      <c r="C17" s="297">
        <v>0.1</v>
      </c>
      <c r="D17" s="298">
        <v>4600</v>
      </c>
      <c r="K17" s="26"/>
      <c r="U17" s="48"/>
    </row>
    <row r="18" spans="2:23" x14ac:dyDescent="0.55000000000000004">
      <c r="B18" s="9"/>
      <c r="C18" s="297"/>
      <c r="D18" s="298"/>
      <c r="K18" s="26"/>
      <c r="U18" s="48"/>
    </row>
    <row r="19" spans="2:23" x14ac:dyDescent="0.55000000000000004">
      <c r="C19" s="26"/>
    </row>
    <row r="20" spans="2:23" x14ac:dyDescent="0.55000000000000004">
      <c r="B20" s="9" t="s">
        <v>84</v>
      </c>
      <c r="C20" s="20">
        <v>4400</v>
      </c>
      <c r="E20" t="s">
        <v>6</v>
      </c>
    </row>
    <row r="21" spans="2:23" ht="28.8" x14ac:dyDescent="0.55000000000000004">
      <c r="B21" s="9" t="s">
        <v>10</v>
      </c>
      <c r="C21" s="20">
        <v>32700</v>
      </c>
      <c r="F21" s="12" t="s">
        <v>7</v>
      </c>
      <c r="G21" s="12" t="s">
        <v>8</v>
      </c>
    </row>
    <row r="22" spans="2:23" x14ac:dyDescent="0.55000000000000004">
      <c r="B22" s="9" t="s">
        <v>83</v>
      </c>
      <c r="C22" s="20">
        <v>512300</v>
      </c>
      <c r="E22" t="s">
        <v>9</v>
      </c>
      <c r="F22">
        <v>0.21537999999999999</v>
      </c>
      <c r="G22">
        <v>0.92534000000000005</v>
      </c>
      <c r="M22" s="26"/>
    </row>
    <row r="23" spans="2:23" x14ac:dyDescent="0.55000000000000004">
      <c r="B23" s="9" t="s">
        <v>85</v>
      </c>
      <c r="C23" s="20">
        <v>1144500</v>
      </c>
      <c r="E23" t="s">
        <v>10</v>
      </c>
      <c r="F23">
        <v>0.62727999999999995</v>
      </c>
      <c r="G23">
        <v>7.2569999999999996E-2</v>
      </c>
      <c r="M23" s="26"/>
    </row>
    <row r="24" spans="2:23" x14ac:dyDescent="0.55000000000000004">
      <c r="B24" s="9" t="s">
        <v>86</v>
      </c>
      <c r="C24" s="20">
        <v>2899400</v>
      </c>
      <c r="E24" t="s">
        <v>12</v>
      </c>
      <c r="F24">
        <v>0.104</v>
      </c>
      <c r="G24">
        <v>1.98E-3</v>
      </c>
      <c r="M24" s="26"/>
      <c r="N24" s="49"/>
    </row>
    <row r="25" spans="2:23" x14ac:dyDescent="0.55000000000000004">
      <c r="B25" s="9" t="s">
        <v>15</v>
      </c>
      <c r="C25" s="20">
        <v>6463700</v>
      </c>
      <c r="E25" t="s">
        <v>13</v>
      </c>
      <c r="F25">
        <v>3.8580000000000003E-2</v>
      </c>
      <c r="G25">
        <v>8.0000000000000007E-5</v>
      </c>
      <c r="M25" s="26"/>
    </row>
    <row r="26" spans="2:23" x14ac:dyDescent="0.55000000000000004">
      <c r="B26" s="9" t="s">
        <v>87</v>
      </c>
      <c r="C26" s="20">
        <v>10900000</v>
      </c>
      <c r="E26" t="s">
        <v>14</v>
      </c>
      <c r="F26">
        <v>4.4200000000000003E-3</v>
      </c>
      <c r="G26">
        <v>0</v>
      </c>
      <c r="M26" s="26"/>
    </row>
    <row r="27" spans="2:23" x14ac:dyDescent="0.55000000000000004">
      <c r="E27" t="s">
        <v>15</v>
      </c>
      <c r="F27">
        <v>1.034E-2</v>
      </c>
      <c r="G27">
        <v>3.0000000000000001E-5</v>
      </c>
    </row>
    <row r="28" spans="2:23" x14ac:dyDescent="0.55000000000000004">
      <c r="E28" s="13" t="s">
        <v>16</v>
      </c>
    </row>
    <row r="29" spans="2:23" x14ac:dyDescent="0.55000000000000004">
      <c r="E29" s="13"/>
    </row>
    <row r="30" spans="2:23" x14ac:dyDescent="0.55000000000000004">
      <c r="H30" s="938" t="s">
        <v>17</v>
      </c>
      <c r="I30" s="938"/>
      <c r="J30" s="938"/>
      <c r="K30" s="938"/>
      <c r="L30" s="938"/>
      <c r="M30" s="938"/>
      <c r="N30" s="938"/>
      <c r="O30" s="938" t="s">
        <v>18</v>
      </c>
      <c r="P30" s="938"/>
      <c r="Q30" s="938"/>
      <c r="R30" s="938"/>
      <c r="S30" s="938"/>
      <c r="T30" s="938"/>
      <c r="U30" s="938"/>
      <c r="V30" s="938"/>
    </row>
    <row r="31" spans="2:23" x14ac:dyDescent="0.55000000000000004">
      <c r="B31" s="205" t="s">
        <v>4</v>
      </c>
      <c r="C31" s="205" t="s">
        <v>2</v>
      </c>
      <c r="D31" s="205" t="s">
        <v>253</v>
      </c>
      <c r="E31" s="205" t="s">
        <v>28</v>
      </c>
      <c r="F31" s="205" t="s">
        <v>29</v>
      </c>
      <c r="G31" s="205" t="s">
        <v>252</v>
      </c>
      <c r="H31" s="205" t="s">
        <v>11</v>
      </c>
      <c r="I31" s="205" t="s">
        <v>19</v>
      </c>
      <c r="J31" s="205" t="s">
        <v>20</v>
      </c>
      <c r="K31" s="205" t="s">
        <v>21</v>
      </c>
      <c r="L31" s="205" t="s">
        <v>22</v>
      </c>
      <c r="M31" s="205" t="s">
        <v>23</v>
      </c>
      <c r="N31" s="205" t="s">
        <v>24</v>
      </c>
      <c r="O31" s="205" t="s">
        <v>266</v>
      </c>
      <c r="P31" s="205" t="s">
        <v>267</v>
      </c>
      <c r="Q31" s="205" t="s">
        <v>268</v>
      </c>
      <c r="R31" s="205" t="s">
        <v>269</v>
      </c>
      <c r="S31" s="205" t="s">
        <v>270</v>
      </c>
      <c r="T31" s="205" t="s">
        <v>271</v>
      </c>
      <c r="U31" s="205" t="s">
        <v>272</v>
      </c>
      <c r="V31" s="205" t="s">
        <v>25</v>
      </c>
      <c r="W31" s="205" t="s">
        <v>26</v>
      </c>
    </row>
    <row r="32" spans="2:23" x14ac:dyDescent="0.55000000000000004">
      <c r="B32" s="206">
        <v>1</v>
      </c>
      <c r="C32" s="27">
        <v>2027</v>
      </c>
      <c r="D32" s="306">
        <f>$C$7</f>
        <v>6354.3947468595361</v>
      </c>
      <c r="E32" s="307">
        <f t="shared" ref="E32:E51" si="0">D32*$C$6*$C$13/1000</f>
        <v>0.1778664888</v>
      </c>
      <c r="F32" s="308">
        <f t="shared" ref="F32:F51" si="1">$D$32*$C$14/1000</f>
        <v>1.4826899894689762</v>
      </c>
      <c r="G32" s="307">
        <f t="shared" ref="G32:G51" si="2">D32*$C$6/1000</f>
        <v>5.3360000000000003</v>
      </c>
      <c r="H32" s="307">
        <f>E32</f>
        <v>0.1778664888</v>
      </c>
      <c r="I32" s="307">
        <f t="shared" ref="I32:I51" si="3">(($F$27*$F32)+($G$27*$G32))</f>
        <v>1.5491094491109214E-2</v>
      </c>
      <c r="J32" s="307">
        <f t="shared" ref="J32:J51" si="4">(($F$26*$F32)+($G$26*$G32))</f>
        <v>6.5534897534528756E-3</v>
      </c>
      <c r="K32" s="307">
        <f t="shared" ref="K32:K51" si="5">(($F$25*$F32)+($G$25*$G32))</f>
        <v>5.7629059793713105E-2</v>
      </c>
      <c r="L32" s="307">
        <f t="shared" ref="L32:L51" si="6">(($F$24*$F32)+($G$24*$G32))</f>
        <v>0.16476503890477354</v>
      </c>
      <c r="M32" s="307">
        <f t="shared" ref="M32:M51" si="7">(($F$23*$F32)+($G$23*$G32))</f>
        <v>1.3172952965940994</v>
      </c>
      <c r="N32" s="307">
        <f t="shared" ref="N32:N51" si="8">(($F$22*$F32)+($G$22*G32))</f>
        <v>5.2569560099318284</v>
      </c>
      <c r="O32" s="309">
        <f>H32*$C$26</f>
        <v>1938744.72792</v>
      </c>
      <c r="P32" s="309">
        <f>I32*$C$25</f>
        <v>100129.78746218263</v>
      </c>
      <c r="Q32" s="309">
        <f>J32*$C$24</f>
        <v>19001.188191161269</v>
      </c>
      <c r="R32" s="309">
        <f>K32*$C$23</f>
        <v>65956.458933904651</v>
      </c>
      <c r="S32" s="309">
        <f>L32*$C$22</f>
        <v>84409.129430915476</v>
      </c>
      <c r="T32" s="309">
        <f>M32*$C$21</f>
        <v>43075.556198627048</v>
      </c>
      <c r="U32" s="309">
        <f>N32*$C$20</f>
        <v>23130.606443700046</v>
      </c>
      <c r="V32" s="309">
        <f>SUM(O32:U32)</f>
        <v>2274447.4545804914</v>
      </c>
      <c r="W32" s="309">
        <f t="shared" ref="W32:W51" si="9">ROUND($V32/((1+$C$9)^($C32-$C$10)),0)</f>
        <v>1416412</v>
      </c>
    </row>
    <row r="33" spans="2:23" x14ac:dyDescent="0.55000000000000004">
      <c r="B33" s="206">
        <v>2</v>
      </c>
      <c r="C33" s="27">
        <v>2028</v>
      </c>
      <c r="D33" s="306">
        <f t="shared" ref="D33:D51" si="10">D32*(1+$C$8)</f>
        <v>6481.482641796727</v>
      </c>
      <c r="E33" s="307">
        <f t="shared" si="0"/>
        <v>0.18142381857600004</v>
      </c>
      <c r="F33" s="308">
        <f t="shared" si="1"/>
        <v>1.4826899894689762</v>
      </c>
      <c r="G33" s="307">
        <f t="shared" si="2"/>
        <v>5.4427200000000004</v>
      </c>
      <c r="H33" s="307">
        <f t="shared" ref="H33:H51" si="11">E33</f>
        <v>0.18142381857600004</v>
      </c>
      <c r="I33" s="307">
        <f t="shared" si="3"/>
        <v>1.5494296091109215E-2</v>
      </c>
      <c r="J33" s="307">
        <f t="shared" si="4"/>
        <v>6.5534897534528756E-3</v>
      </c>
      <c r="K33" s="307">
        <f t="shared" si="5"/>
        <v>5.7637597393713109E-2</v>
      </c>
      <c r="L33" s="307">
        <f t="shared" si="6"/>
        <v>0.16497634450477353</v>
      </c>
      <c r="M33" s="307">
        <f t="shared" si="7"/>
        <v>1.3250399669940993</v>
      </c>
      <c r="N33" s="307">
        <f t="shared" si="8"/>
        <v>5.3557082947318291</v>
      </c>
      <c r="O33" s="309">
        <f t="shared" ref="O33:O51" si="12">H33*$C$26</f>
        <v>1977519.6224784004</v>
      </c>
      <c r="P33" s="309">
        <f t="shared" ref="P33:P51" si="13">I33*$C$25</f>
        <v>100150.48164410263</v>
      </c>
      <c r="Q33" s="309">
        <f t="shared" ref="Q33:Q51" si="14">J33*$C$24</f>
        <v>19001.188191161269</v>
      </c>
      <c r="R33" s="309">
        <f t="shared" ref="R33:R51" si="15">K33*$C$23</f>
        <v>65966.230217104647</v>
      </c>
      <c r="S33" s="309">
        <f t="shared" ref="S33:S51" si="16">L33*$C$22</f>
        <v>84517.381289795478</v>
      </c>
      <c r="T33" s="309">
        <f t="shared" ref="T33:T51" si="17">M33*$C$21</f>
        <v>43328.806920707051</v>
      </c>
      <c r="U33" s="309">
        <f t="shared" ref="U33:U51" si="18">N33*$C$20</f>
        <v>23565.116496820046</v>
      </c>
      <c r="V33" s="309">
        <f t="shared" ref="V33:V51" si="19">SUM(O33:U33)</f>
        <v>2314048.8272380917</v>
      </c>
      <c r="W33" s="309">
        <f t="shared" si="9"/>
        <v>1346797</v>
      </c>
    </row>
    <row r="34" spans="2:23" x14ac:dyDescent="0.55000000000000004">
      <c r="B34" s="206">
        <v>3</v>
      </c>
      <c r="C34" s="27">
        <v>2029</v>
      </c>
      <c r="D34" s="306">
        <f t="shared" si="10"/>
        <v>6611.1122946326614</v>
      </c>
      <c r="E34" s="307">
        <f t="shared" si="0"/>
        <v>0.18505229494752004</v>
      </c>
      <c r="F34" s="308">
        <f t="shared" si="1"/>
        <v>1.4826899894689762</v>
      </c>
      <c r="G34" s="307">
        <f t="shared" si="2"/>
        <v>5.5515744000000007</v>
      </c>
      <c r="H34" s="307">
        <f t="shared" si="11"/>
        <v>0.18505229494752004</v>
      </c>
      <c r="I34" s="307">
        <f t="shared" si="3"/>
        <v>1.5497561723109215E-2</v>
      </c>
      <c r="J34" s="307">
        <f t="shared" si="4"/>
        <v>6.5534897534528756E-3</v>
      </c>
      <c r="K34" s="307">
        <f t="shared" si="5"/>
        <v>5.7646305745713111E-2</v>
      </c>
      <c r="L34" s="307">
        <f t="shared" si="6"/>
        <v>0.16519187621677353</v>
      </c>
      <c r="M34" s="307">
        <f t="shared" si="7"/>
        <v>1.3329395308020995</v>
      </c>
      <c r="N34" s="307">
        <f t="shared" si="8"/>
        <v>5.4564356252278294</v>
      </c>
      <c r="O34" s="309">
        <f t="shared" si="12"/>
        <v>2017070.0149279684</v>
      </c>
      <c r="P34" s="309">
        <f t="shared" si="13"/>
        <v>100171.58970966103</v>
      </c>
      <c r="Q34" s="309">
        <f t="shared" si="14"/>
        <v>19001.188191161269</v>
      </c>
      <c r="R34" s="309">
        <f t="shared" si="15"/>
        <v>65976.196925968659</v>
      </c>
      <c r="S34" s="309">
        <f t="shared" si="16"/>
        <v>84627.798185853084</v>
      </c>
      <c r="T34" s="309">
        <f t="shared" si="17"/>
        <v>43587.122657228654</v>
      </c>
      <c r="U34" s="309">
        <f t="shared" si="18"/>
        <v>24008.31675100245</v>
      </c>
      <c r="V34" s="309">
        <f t="shared" si="19"/>
        <v>2354442.2273488441</v>
      </c>
      <c r="W34" s="309">
        <f t="shared" si="9"/>
        <v>1280661</v>
      </c>
    </row>
    <row r="35" spans="2:23" x14ac:dyDescent="0.55000000000000004">
      <c r="B35" s="206">
        <v>4</v>
      </c>
      <c r="C35" s="27">
        <v>2030</v>
      </c>
      <c r="D35" s="306">
        <f t="shared" si="10"/>
        <v>6743.3345405253149</v>
      </c>
      <c r="E35" s="307">
        <f t="shared" si="0"/>
        <v>0.18875334084647041</v>
      </c>
      <c r="F35" s="308">
        <f t="shared" si="1"/>
        <v>1.4826899894689762</v>
      </c>
      <c r="G35" s="307">
        <f t="shared" si="2"/>
        <v>5.6626058879999999</v>
      </c>
      <c r="H35" s="307">
        <f t="shared" si="11"/>
        <v>0.18875334084647041</v>
      </c>
      <c r="I35" s="307">
        <f t="shared" si="3"/>
        <v>1.5500892667749214E-2</v>
      </c>
      <c r="J35" s="307">
        <f t="shared" si="4"/>
        <v>6.5534897534528756E-3</v>
      </c>
      <c r="K35" s="307">
        <f t="shared" si="5"/>
        <v>5.7655188264753111E-2</v>
      </c>
      <c r="L35" s="307">
        <f t="shared" si="6"/>
        <v>0.16541171856301354</v>
      </c>
      <c r="M35" s="307">
        <f t="shared" si="7"/>
        <v>1.3409970858862594</v>
      </c>
      <c r="N35" s="307">
        <f t="shared" si="8"/>
        <v>5.559177502333748</v>
      </c>
      <c r="O35" s="309">
        <f t="shared" si="12"/>
        <v>2057411.4152265275</v>
      </c>
      <c r="P35" s="309">
        <f t="shared" si="13"/>
        <v>100193.11993653059</v>
      </c>
      <c r="Q35" s="309">
        <f t="shared" si="14"/>
        <v>19001.188191161269</v>
      </c>
      <c r="R35" s="309">
        <f t="shared" si="15"/>
        <v>65986.362969009933</v>
      </c>
      <c r="S35" s="309">
        <f t="shared" si="16"/>
        <v>84740.42341983183</v>
      </c>
      <c r="T35" s="309">
        <f t="shared" si="17"/>
        <v>43850.604708480685</v>
      </c>
      <c r="U35" s="309">
        <f t="shared" si="18"/>
        <v>24460.381010268491</v>
      </c>
      <c r="V35" s="309">
        <f t="shared" si="19"/>
        <v>2395643.4954618104</v>
      </c>
      <c r="W35" s="309">
        <f t="shared" si="9"/>
        <v>1217824</v>
      </c>
    </row>
    <row r="36" spans="2:23" x14ac:dyDescent="0.55000000000000004">
      <c r="B36" s="206">
        <v>5</v>
      </c>
      <c r="C36" s="27">
        <v>2031</v>
      </c>
      <c r="D36" s="306">
        <f t="shared" si="10"/>
        <v>6878.2012313358209</v>
      </c>
      <c r="E36" s="307">
        <f t="shared" si="0"/>
        <v>0.19252840766339982</v>
      </c>
      <c r="F36" s="308">
        <f t="shared" si="1"/>
        <v>1.4826899894689762</v>
      </c>
      <c r="G36" s="307">
        <f t="shared" si="2"/>
        <v>5.77585800576</v>
      </c>
      <c r="H36" s="307">
        <f t="shared" si="11"/>
        <v>0.19252840766339982</v>
      </c>
      <c r="I36" s="307">
        <f t="shared" si="3"/>
        <v>1.5504290231282015E-2</v>
      </c>
      <c r="J36" s="307">
        <f t="shared" si="4"/>
        <v>6.5534897534528756E-3</v>
      </c>
      <c r="K36" s="307">
        <f t="shared" si="5"/>
        <v>5.7664248434173906E-2</v>
      </c>
      <c r="L36" s="307">
        <f t="shared" si="6"/>
        <v>0.16563595775617831</v>
      </c>
      <c r="M36" s="307">
        <f t="shared" si="7"/>
        <v>1.3492157920721026</v>
      </c>
      <c r="N36" s="307">
        <f t="shared" si="8"/>
        <v>5.6639742169817868</v>
      </c>
      <c r="O36" s="309">
        <f t="shared" si="12"/>
        <v>2098559.643531058</v>
      </c>
      <c r="P36" s="309">
        <f t="shared" si="13"/>
        <v>100215.08076793756</v>
      </c>
      <c r="Q36" s="309">
        <f t="shared" si="14"/>
        <v>19001.188191161269</v>
      </c>
      <c r="R36" s="309">
        <f t="shared" si="15"/>
        <v>65996.732332912041</v>
      </c>
      <c r="S36" s="309">
        <f t="shared" si="16"/>
        <v>84855.301158490154</v>
      </c>
      <c r="T36" s="309">
        <f t="shared" si="17"/>
        <v>44119.356400757759</v>
      </c>
      <c r="U36" s="309">
        <f t="shared" si="18"/>
        <v>24921.486554719861</v>
      </c>
      <c r="V36" s="309">
        <f t="shared" si="19"/>
        <v>2437668.7889370364</v>
      </c>
      <c r="W36" s="309">
        <f t="shared" si="9"/>
        <v>1158119</v>
      </c>
    </row>
    <row r="37" spans="2:23" x14ac:dyDescent="0.55000000000000004">
      <c r="B37" s="206">
        <v>6</v>
      </c>
      <c r="C37" s="27">
        <v>2032</v>
      </c>
      <c r="D37" s="306">
        <f t="shared" si="10"/>
        <v>7015.7652559625376</v>
      </c>
      <c r="E37" s="307">
        <f t="shared" si="0"/>
        <v>0.19637897581666786</v>
      </c>
      <c r="F37" s="308">
        <f t="shared" si="1"/>
        <v>1.4826899894689762</v>
      </c>
      <c r="G37" s="307">
        <f t="shared" si="2"/>
        <v>5.8913751658752007</v>
      </c>
      <c r="H37" s="307">
        <f t="shared" si="11"/>
        <v>0.19637897581666786</v>
      </c>
      <c r="I37" s="307">
        <f t="shared" si="3"/>
        <v>1.5507755746085471E-2</v>
      </c>
      <c r="J37" s="307">
        <f t="shared" si="4"/>
        <v>6.5534897534528756E-3</v>
      </c>
      <c r="K37" s="307">
        <f t="shared" si="5"/>
        <v>5.7673489806983128E-2</v>
      </c>
      <c r="L37" s="307">
        <f t="shared" si="6"/>
        <v>0.16586468173320643</v>
      </c>
      <c r="M37" s="307">
        <f t="shared" si="7"/>
        <v>1.3575988723816628</v>
      </c>
      <c r="N37" s="307">
        <f t="shared" si="8"/>
        <v>5.7708668659227866</v>
      </c>
      <c r="O37" s="309">
        <f t="shared" si="12"/>
        <v>2140530.8364016796</v>
      </c>
      <c r="P37" s="309">
        <f t="shared" si="13"/>
        <v>100237.48081597265</v>
      </c>
      <c r="Q37" s="309">
        <f t="shared" si="14"/>
        <v>19001.188191161269</v>
      </c>
      <c r="R37" s="309">
        <f t="shared" si="15"/>
        <v>66007.309084092194</v>
      </c>
      <c r="S37" s="309">
        <f t="shared" si="16"/>
        <v>84972.476451921655</v>
      </c>
      <c r="T37" s="309">
        <f t="shared" si="17"/>
        <v>44393.483126880375</v>
      </c>
      <c r="U37" s="309">
        <f t="shared" si="18"/>
        <v>25391.81421006026</v>
      </c>
      <c r="V37" s="309">
        <f t="shared" si="19"/>
        <v>2480534.5882817684</v>
      </c>
      <c r="W37" s="309">
        <f t="shared" si="9"/>
        <v>1101387</v>
      </c>
    </row>
    <row r="38" spans="2:23" x14ac:dyDescent="0.55000000000000004">
      <c r="B38" s="206">
        <v>7</v>
      </c>
      <c r="C38" s="27">
        <v>2033</v>
      </c>
      <c r="D38" s="306">
        <f t="shared" si="10"/>
        <v>7156.0805610817888</v>
      </c>
      <c r="E38" s="307">
        <f t="shared" si="0"/>
        <v>0.20030655533300121</v>
      </c>
      <c r="F38" s="308">
        <f t="shared" si="1"/>
        <v>1.4826899894689762</v>
      </c>
      <c r="G38" s="307">
        <f t="shared" si="2"/>
        <v>6.009202669192705</v>
      </c>
      <c r="H38" s="307">
        <f t="shared" si="11"/>
        <v>0.20030655533300121</v>
      </c>
      <c r="I38" s="307">
        <f t="shared" si="3"/>
        <v>1.5511290571184996E-2</v>
      </c>
      <c r="J38" s="307">
        <f t="shared" si="4"/>
        <v>6.5534897534528756E-3</v>
      </c>
      <c r="K38" s="307">
        <f t="shared" si="5"/>
        <v>5.7682916007248522E-2</v>
      </c>
      <c r="L38" s="307">
        <f t="shared" si="6"/>
        <v>0.16609798018977509</v>
      </c>
      <c r="M38" s="307">
        <f t="shared" si="7"/>
        <v>1.3661496142974139</v>
      </c>
      <c r="N38" s="307">
        <f t="shared" si="8"/>
        <v>5.8798973678426059</v>
      </c>
      <c r="O38" s="309">
        <f t="shared" si="12"/>
        <v>2183341.453129713</v>
      </c>
      <c r="P38" s="309">
        <f t="shared" si="13"/>
        <v>100260.32886496845</v>
      </c>
      <c r="Q38" s="309">
        <f t="shared" si="14"/>
        <v>19001.188191161269</v>
      </c>
      <c r="R38" s="309">
        <f t="shared" si="15"/>
        <v>66018.097370295931</v>
      </c>
      <c r="S38" s="309">
        <f t="shared" si="16"/>
        <v>85091.995251221786</v>
      </c>
      <c r="T38" s="309">
        <f t="shared" si="17"/>
        <v>44673.092387525438</v>
      </c>
      <c r="U38" s="309">
        <f t="shared" si="18"/>
        <v>25871.548418507467</v>
      </c>
      <c r="V38" s="309">
        <f t="shared" si="19"/>
        <v>2524257.703613393</v>
      </c>
      <c r="W38" s="309">
        <f t="shared" si="9"/>
        <v>1047477</v>
      </c>
    </row>
    <row r="39" spans="2:23" x14ac:dyDescent="0.55000000000000004">
      <c r="B39" s="206">
        <v>8</v>
      </c>
      <c r="C39" s="27">
        <v>2034</v>
      </c>
      <c r="D39" s="306">
        <f t="shared" si="10"/>
        <v>7299.202172303425</v>
      </c>
      <c r="E39" s="307">
        <f t="shared" si="0"/>
        <v>0.20431268643966125</v>
      </c>
      <c r="F39" s="308">
        <f t="shared" si="1"/>
        <v>1.4826899894689762</v>
      </c>
      <c r="G39" s="307">
        <f t="shared" si="2"/>
        <v>6.1293867225765588</v>
      </c>
      <c r="H39" s="307">
        <f t="shared" si="11"/>
        <v>0.20431268643966125</v>
      </c>
      <c r="I39" s="307">
        <f t="shared" si="3"/>
        <v>1.5514896092786511E-2</v>
      </c>
      <c r="J39" s="307">
        <f t="shared" si="4"/>
        <v>6.5534897534528756E-3</v>
      </c>
      <c r="K39" s="307">
        <f t="shared" si="5"/>
        <v>5.7692530731519233E-2</v>
      </c>
      <c r="L39" s="307">
        <f t="shared" si="6"/>
        <v>0.1663359446154751</v>
      </c>
      <c r="M39" s="307">
        <f t="shared" si="7"/>
        <v>1.3748713710514802</v>
      </c>
      <c r="N39" s="307">
        <f t="shared" si="8"/>
        <v>5.9911084798008218</v>
      </c>
      <c r="O39" s="309">
        <f t="shared" si="12"/>
        <v>2227008.2821923075</v>
      </c>
      <c r="P39" s="309">
        <f t="shared" si="13"/>
        <v>100283.63387494418</v>
      </c>
      <c r="Q39" s="309">
        <f t="shared" si="14"/>
        <v>19001.188191161269</v>
      </c>
      <c r="R39" s="309">
        <f t="shared" si="15"/>
        <v>66029.101422223757</v>
      </c>
      <c r="S39" s="309">
        <f t="shared" si="16"/>
        <v>85213.904426507899</v>
      </c>
      <c r="T39" s="309">
        <f t="shared" si="17"/>
        <v>44958.293833383403</v>
      </c>
      <c r="U39" s="309">
        <f t="shared" si="18"/>
        <v>26360.877311123615</v>
      </c>
      <c r="V39" s="309">
        <f t="shared" si="19"/>
        <v>2568855.2812516522</v>
      </c>
      <c r="W39" s="309">
        <f t="shared" si="9"/>
        <v>996246</v>
      </c>
    </row>
    <row r="40" spans="2:23" x14ac:dyDescent="0.55000000000000004">
      <c r="B40" s="206">
        <v>9</v>
      </c>
      <c r="C40" s="27">
        <v>2035</v>
      </c>
      <c r="D40" s="306">
        <f t="shared" si="10"/>
        <v>7445.1862157494934</v>
      </c>
      <c r="E40" s="307">
        <f t="shared" si="0"/>
        <v>0.20839894016845445</v>
      </c>
      <c r="F40" s="308">
        <f t="shared" si="1"/>
        <v>1.4826899894689762</v>
      </c>
      <c r="G40" s="307">
        <f t="shared" si="2"/>
        <v>6.2519744570280897</v>
      </c>
      <c r="H40" s="307">
        <f t="shared" si="11"/>
        <v>0.20839894016845445</v>
      </c>
      <c r="I40" s="307">
        <f t="shared" si="3"/>
        <v>1.5518573724820057E-2</v>
      </c>
      <c r="J40" s="307">
        <f t="shared" si="4"/>
        <v>6.5534897534528756E-3</v>
      </c>
      <c r="K40" s="307">
        <f t="shared" si="5"/>
        <v>5.7702337750275355E-2</v>
      </c>
      <c r="L40" s="307">
        <f t="shared" si="6"/>
        <v>0.16657866832968915</v>
      </c>
      <c r="M40" s="307">
        <f t="shared" si="7"/>
        <v>1.3837675629406279</v>
      </c>
      <c r="N40" s="307">
        <f t="shared" si="8"/>
        <v>6.1045438139982009</v>
      </c>
      <c r="O40" s="309">
        <f t="shared" si="12"/>
        <v>2271548.4478361537</v>
      </c>
      <c r="P40" s="309">
        <f t="shared" si="13"/>
        <v>100307.4049851194</v>
      </c>
      <c r="Q40" s="309">
        <f t="shared" si="14"/>
        <v>19001.188191161269</v>
      </c>
      <c r="R40" s="309">
        <f t="shared" si="15"/>
        <v>66040.325555190138</v>
      </c>
      <c r="S40" s="309">
        <f t="shared" si="16"/>
        <v>85338.251785299755</v>
      </c>
      <c r="T40" s="309">
        <f t="shared" si="17"/>
        <v>45249.199308158531</v>
      </c>
      <c r="U40" s="309">
        <f t="shared" si="18"/>
        <v>26859.992781592086</v>
      </c>
      <c r="V40" s="309">
        <f t="shared" si="19"/>
        <v>2614344.8104426749</v>
      </c>
      <c r="W40" s="309">
        <f t="shared" si="9"/>
        <v>947559</v>
      </c>
    </row>
    <row r="41" spans="2:23" x14ac:dyDescent="0.55000000000000004">
      <c r="B41" s="206">
        <v>10</v>
      </c>
      <c r="C41" s="27">
        <v>2036</v>
      </c>
      <c r="D41" s="306">
        <f t="shared" si="10"/>
        <v>7594.089940064483</v>
      </c>
      <c r="E41" s="307">
        <f t="shared" si="0"/>
        <v>0.21256691897182356</v>
      </c>
      <c r="F41" s="308">
        <f t="shared" si="1"/>
        <v>1.4826899894689762</v>
      </c>
      <c r="G41" s="307">
        <f t="shared" si="2"/>
        <v>6.3770139461686526</v>
      </c>
      <c r="H41" s="307">
        <f t="shared" si="11"/>
        <v>0.21256691897182356</v>
      </c>
      <c r="I41" s="307">
        <f t="shared" si="3"/>
        <v>1.5522324909494274E-2</v>
      </c>
      <c r="J41" s="307">
        <f t="shared" si="4"/>
        <v>6.5534897534528756E-3</v>
      </c>
      <c r="K41" s="307">
        <f t="shared" si="5"/>
        <v>5.7712340909406599E-2</v>
      </c>
      <c r="L41" s="307">
        <f t="shared" si="6"/>
        <v>0.16682624651818745</v>
      </c>
      <c r="M41" s="307">
        <f t="shared" si="7"/>
        <v>1.3928416786675584</v>
      </c>
      <c r="N41" s="307">
        <f t="shared" si="8"/>
        <v>6.2202478548795295</v>
      </c>
      <c r="O41" s="309">
        <f t="shared" si="12"/>
        <v>2316979.416792877</v>
      </c>
      <c r="P41" s="309">
        <f t="shared" si="13"/>
        <v>100331.65151749813</v>
      </c>
      <c r="Q41" s="309">
        <f t="shared" si="14"/>
        <v>19001.188191161269</v>
      </c>
      <c r="R41" s="309">
        <f t="shared" si="15"/>
        <v>66051.774170815857</v>
      </c>
      <c r="S41" s="309">
        <f t="shared" si="16"/>
        <v>85465.086091267425</v>
      </c>
      <c r="T41" s="309">
        <f t="shared" si="17"/>
        <v>45545.92289242916</v>
      </c>
      <c r="U41" s="309">
        <f t="shared" si="18"/>
        <v>27369.09056146993</v>
      </c>
      <c r="V41" s="309">
        <f t="shared" si="19"/>
        <v>2660744.1302175191</v>
      </c>
      <c r="W41" s="309">
        <f t="shared" si="9"/>
        <v>901286</v>
      </c>
    </row>
    <row r="42" spans="2:23" x14ac:dyDescent="0.55000000000000004">
      <c r="B42" s="206">
        <v>11</v>
      </c>
      <c r="C42" s="27">
        <v>2037</v>
      </c>
      <c r="D42" s="306">
        <f t="shared" si="10"/>
        <v>7745.9717388657727</v>
      </c>
      <c r="E42" s="307">
        <f t="shared" si="0"/>
        <v>0.21681825735126004</v>
      </c>
      <c r="F42" s="308">
        <f t="shared" si="1"/>
        <v>1.4826899894689762</v>
      </c>
      <c r="G42" s="307">
        <f t="shared" si="2"/>
        <v>6.5045542250920256</v>
      </c>
      <c r="H42" s="307">
        <f t="shared" si="11"/>
        <v>0.21681825735126004</v>
      </c>
      <c r="I42" s="307">
        <f t="shared" si="3"/>
        <v>1.5526151117861976E-2</v>
      </c>
      <c r="J42" s="307">
        <f t="shared" si="4"/>
        <v>6.5534897534528756E-3</v>
      </c>
      <c r="K42" s="307">
        <f t="shared" si="5"/>
        <v>5.7722544131720468E-2</v>
      </c>
      <c r="L42" s="307">
        <f t="shared" si="6"/>
        <v>0.16707877627045573</v>
      </c>
      <c r="M42" s="307">
        <f t="shared" si="7"/>
        <v>1.4020972767090276</v>
      </c>
      <c r="N42" s="307">
        <f t="shared" si="8"/>
        <v>6.3382659765784837</v>
      </c>
      <c r="O42" s="309">
        <f t="shared" si="12"/>
        <v>2363319.0051287343</v>
      </c>
      <c r="P42" s="309">
        <f t="shared" si="13"/>
        <v>100356.38298052445</v>
      </c>
      <c r="Q42" s="309">
        <f t="shared" si="14"/>
        <v>19001.188191161269</v>
      </c>
      <c r="R42" s="309">
        <f t="shared" si="15"/>
        <v>66063.451758754076</v>
      </c>
      <c r="S42" s="309">
        <f t="shared" si="16"/>
        <v>85594.457083354471</v>
      </c>
      <c r="T42" s="309">
        <f t="shared" si="17"/>
        <v>45848.580948385206</v>
      </c>
      <c r="U42" s="309">
        <f t="shared" si="18"/>
        <v>27888.37029694533</v>
      </c>
      <c r="V42" s="309">
        <f t="shared" si="19"/>
        <v>2708071.4363878598</v>
      </c>
      <c r="W42" s="309">
        <f t="shared" si="9"/>
        <v>857306</v>
      </c>
    </row>
    <row r="43" spans="2:23" x14ac:dyDescent="0.55000000000000004">
      <c r="B43" s="206">
        <v>12</v>
      </c>
      <c r="C43" s="27">
        <v>2038</v>
      </c>
      <c r="D43" s="306">
        <f t="shared" si="10"/>
        <v>7900.8911736430882</v>
      </c>
      <c r="E43" s="307">
        <f t="shared" si="0"/>
        <v>0.22115462249828521</v>
      </c>
      <c r="F43" s="308">
        <f t="shared" si="1"/>
        <v>1.4826899894689762</v>
      </c>
      <c r="G43" s="307">
        <f t="shared" si="2"/>
        <v>6.634645309593866</v>
      </c>
      <c r="H43" s="307">
        <f t="shared" si="11"/>
        <v>0.22115462249828521</v>
      </c>
      <c r="I43" s="307">
        <f t="shared" si="3"/>
        <v>1.5530053850397031E-2</v>
      </c>
      <c r="J43" s="307">
        <f t="shared" si="4"/>
        <v>6.5534897534528756E-3</v>
      </c>
      <c r="K43" s="307">
        <f t="shared" si="5"/>
        <v>5.7732951418480616E-2</v>
      </c>
      <c r="L43" s="307">
        <f t="shared" si="6"/>
        <v>0.16733635661776938</v>
      </c>
      <c r="M43" s="307">
        <f t="shared" si="7"/>
        <v>1.4115379867113262</v>
      </c>
      <c r="N43" s="307">
        <f t="shared" si="8"/>
        <v>6.4586444607114162</v>
      </c>
      <c r="O43" s="309">
        <f t="shared" si="12"/>
        <v>2410585.3852313086</v>
      </c>
      <c r="P43" s="309">
        <f t="shared" si="13"/>
        <v>100381.60907281129</v>
      </c>
      <c r="Q43" s="309">
        <f t="shared" si="14"/>
        <v>19001.188191161269</v>
      </c>
      <c r="R43" s="309">
        <f t="shared" si="15"/>
        <v>66075.362898451058</v>
      </c>
      <c r="S43" s="309">
        <f t="shared" si="16"/>
        <v>85726.415495283261</v>
      </c>
      <c r="T43" s="309">
        <f t="shared" si="17"/>
        <v>46157.292165460371</v>
      </c>
      <c r="U43" s="309">
        <f t="shared" si="18"/>
        <v>28418.03562713023</v>
      </c>
      <c r="V43" s="309">
        <f t="shared" si="19"/>
        <v>2756345.2886816072</v>
      </c>
      <c r="W43" s="309">
        <f t="shared" si="9"/>
        <v>815503</v>
      </c>
    </row>
    <row r="44" spans="2:23" x14ac:dyDescent="0.55000000000000004">
      <c r="B44" s="206">
        <v>13</v>
      </c>
      <c r="C44" s="27">
        <v>2039</v>
      </c>
      <c r="D44" s="306">
        <f t="shared" si="10"/>
        <v>8058.9089971159501</v>
      </c>
      <c r="E44" s="307">
        <f t="shared" si="0"/>
        <v>0.22557771494825093</v>
      </c>
      <c r="F44" s="308">
        <f t="shared" si="1"/>
        <v>1.4826899894689762</v>
      </c>
      <c r="G44" s="307">
        <f t="shared" si="2"/>
        <v>6.7673382157857436</v>
      </c>
      <c r="H44" s="307">
        <f t="shared" si="11"/>
        <v>0.22557771494825093</v>
      </c>
      <c r="I44" s="307">
        <f t="shared" si="3"/>
        <v>1.5534034637582787E-2</v>
      </c>
      <c r="J44" s="307">
        <f t="shared" si="4"/>
        <v>6.5534897534528756E-3</v>
      </c>
      <c r="K44" s="307">
        <f t="shared" si="5"/>
        <v>5.7743566850975966E-2</v>
      </c>
      <c r="L44" s="307">
        <f t="shared" si="6"/>
        <v>0.16759908857202929</v>
      </c>
      <c r="M44" s="307">
        <f t="shared" si="7"/>
        <v>1.4211675109136708</v>
      </c>
      <c r="N44" s="307">
        <f t="shared" si="8"/>
        <v>6.5814305145270087</v>
      </c>
      <c r="O44" s="309">
        <f t="shared" si="12"/>
        <v>2458797.0929359351</v>
      </c>
      <c r="P44" s="309">
        <f t="shared" si="13"/>
        <v>100407.33968694386</v>
      </c>
      <c r="Q44" s="309">
        <f t="shared" si="14"/>
        <v>19001.188191161269</v>
      </c>
      <c r="R44" s="309">
        <f t="shared" si="15"/>
        <v>66087.512260941992</v>
      </c>
      <c r="S44" s="309">
        <f t="shared" si="16"/>
        <v>85861.01307545061</v>
      </c>
      <c r="T44" s="309">
        <f t="shared" si="17"/>
        <v>46472.177606877034</v>
      </c>
      <c r="U44" s="309">
        <f t="shared" si="18"/>
        <v>28958.294263918837</v>
      </c>
      <c r="V44" s="309">
        <f t="shared" si="19"/>
        <v>2805584.6180212284</v>
      </c>
      <c r="W44" s="309">
        <f t="shared" si="9"/>
        <v>775768</v>
      </c>
    </row>
    <row r="45" spans="2:23" x14ac:dyDescent="0.55000000000000004">
      <c r="B45" s="206">
        <v>14</v>
      </c>
      <c r="C45" s="27">
        <v>2040</v>
      </c>
      <c r="D45" s="306">
        <f t="shared" si="10"/>
        <v>8220.0871770582689</v>
      </c>
      <c r="E45" s="307">
        <f t="shared" si="0"/>
        <v>0.23008926924721596</v>
      </c>
      <c r="F45" s="308">
        <f t="shared" si="1"/>
        <v>1.4826899894689762</v>
      </c>
      <c r="G45" s="307">
        <f t="shared" si="2"/>
        <v>6.9026849801014576</v>
      </c>
      <c r="H45" s="307">
        <f t="shared" si="11"/>
        <v>0.23008926924721596</v>
      </c>
      <c r="I45" s="307">
        <f t="shared" si="3"/>
        <v>1.5538095040512259E-2</v>
      </c>
      <c r="J45" s="307">
        <f t="shared" si="4"/>
        <v>6.5534897534528756E-3</v>
      </c>
      <c r="K45" s="307">
        <f t="shared" si="5"/>
        <v>5.7754394592121228E-2</v>
      </c>
      <c r="L45" s="307">
        <f t="shared" si="6"/>
        <v>0.16786707516537441</v>
      </c>
      <c r="M45" s="307">
        <f t="shared" si="7"/>
        <v>1.4309896256000623</v>
      </c>
      <c r="N45" s="307">
        <f t="shared" si="8"/>
        <v>6.7066722894189112</v>
      </c>
      <c r="O45" s="309">
        <f t="shared" si="12"/>
        <v>2507973.0347946538</v>
      </c>
      <c r="P45" s="309">
        <f t="shared" si="13"/>
        <v>100433.58491335908</v>
      </c>
      <c r="Q45" s="309">
        <f t="shared" si="14"/>
        <v>19001.188191161269</v>
      </c>
      <c r="R45" s="309">
        <f t="shared" si="15"/>
        <v>66099.904610682745</v>
      </c>
      <c r="S45" s="309">
        <f t="shared" si="16"/>
        <v>85998.302607221311</v>
      </c>
      <c r="T45" s="309">
        <f t="shared" si="17"/>
        <v>46793.360757122035</v>
      </c>
      <c r="U45" s="309">
        <f t="shared" si="18"/>
        <v>29509.358073443211</v>
      </c>
      <c r="V45" s="309">
        <f t="shared" si="19"/>
        <v>2855808.7339476435</v>
      </c>
      <c r="W45" s="309">
        <f t="shared" si="9"/>
        <v>737995</v>
      </c>
    </row>
    <row r="46" spans="2:23" x14ac:dyDescent="0.55000000000000004">
      <c r="B46" s="206">
        <v>15</v>
      </c>
      <c r="C46" s="27">
        <v>2041</v>
      </c>
      <c r="D46" s="306">
        <f t="shared" si="10"/>
        <v>8384.488920599435</v>
      </c>
      <c r="E46" s="307">
        <f t="shared" si="0"/>
        <v>0.23469105463216028</v>
      </c>
      <c r="F46" s="308">
        <f t="shared" si="1"/>
        <v>1.4826899894689762</v>
      </c>
      <c r="G46" s="307">
        <f t="shared" si="2"/>
        <v>7.0407386797034865</v>
      </c>
      <c r="H46" s="307">
        <f t="shared" si="11"/>
        <v>0.23469105463216028</v>
      </c>
      <c r="I46" s="307">
        <f t="shared" si="3"/>
        <v>1.554223665150032E-2</v>
      </c>
      <c r="J46" s="307">
        <f t="shared" si="4"/>
        <v>6.5534897534528756E-3</v>
      </c>
      <c r="K46" s="307">
        <f t="shared" si="5"/>
        <v>5.7765438888089389E-2</v>
      </c>
      <c r="L46" s="307">
        <f t="shared" si="6"/>
        <v>0.16814042149058642</v>
      </c>
      <c r="M46" s="307">
        <f t="shared" si="7"/>
        <v>1.4410081825801813</v>
      </c>
      <c r="N46" s="307">
        <f t="shared" si="8"/>
        <v>6.8344188998086528</v>
      </c>
      <c r="O46" s="309">
        <f t="shared" si="12"/>
        <v>2558132.4954905473</v>
      </c>
      <c r="P46" s="309">
        <f t="shared" si="13"/>
        <v>100460.35504430262</v>
      </c>
      <c r="Q46" s="309">
        <f t="shared" si="14"/>
        <v>19001.188191161269</v>
      </c>
      <c r="R46" s="309">
        <f t="shared" si="15"/>
        <v>66112.544807418308</v>
      </c>
      <c r="S46" s="309">
        <f t="shared" si="16"/>
        <v>86138.337929627422</v>
      </c>
      <c r="T46" s="309">
        <f t="shared" si="17"/>
        <v>47120.967570371926</v>
      </c>
      <c r="U46" s="309">
        <f t="shared" si="18"/>
        <v>30071.443159158072</v>
      </c>
      <c r="V46" s="309">
        <f t="shared" si="19"/>
        <v>2907037.3321925867</v>
      </c>
      <c r="W46" s="309">
        <f t="shared" si="9"/>
        <v>702088</v>
      </c>
    </row>
    <row r="47" spans="2:23" x14ac:dyDescent="0.55000000000000004">
      <c r="B47" s="206">
        <v>16</v>
      </c>
      <c r="C47" s="27">
        <v>2042</v>
      </c>
      <c r="D47" s="306">
        <f t="shared" si="10"/>
        <v>8552.1786990114233</v>
      </c>
      <c r="E47" s="307">
        <f t="shared" si="0"/>
        <v>0.23938487572480349</v>
      </c>
      <c r="F47" s="308">
        <f t="shared" si="1"/>
        <v>1.4826899894689762</v>
      </c>
      <c r="G47" s="307">
        <f t="shared" si="2"/>
        <v>7.1815534532975569</v>
      </c>
      <c r="H47" s="307">
        <f t="shared" si="11"/>
        <v>0.23938487572480349</v>
      </c>
      <c r="I47" s="307">
        <f t="shared" si="3"/>
        <v>1.5546461094708142E-2</v>
      </c>
      <c r="J47" s="307">
        <f t="shared" si="4"/>
        <v>6.5534897534528756E-3</v>
      </c>
      <c r="K47" s="307">
        <f t="shared" si="5"/>
        <v>5.7776704069976911E-2</v>
      </c>
      <c r="L47" s="307">
        <f t="shared" si="6"/>
        <v>0.16841923474230269</v>
      </c>
      <c r="M47" s="307">
        <f t="shared" si="7"/>
        <v>1.4512271106999031</v>
      </c>
      <c r="N47" s="307">
        <f t="shared" si="8"/>
        <v>6.9647204424061897</v>
      </c>
      <c r="O47" s="309">
        <f t="shared" si="12"/>
        <v>2609295.1454003579</v>
      </c>
      <c r="P47" s="309">
        <f t="shared" si="13"/>
        <v>100487.66057786501</v>
      </c>
      <c r="Q47" s="309">
        <f t="shared" si="14"/>
        <v>19001.188191161269</v>
      </c>
      <c r="R47" s="309">
        <f t="shared" si="15"/>
        <v>66125.43780808858</v>
      </c>
      <c r="S47" s="309">
        <f t="shared" si="16"/>
        <v>86281.173958481668</v>
      </c>
      <c r="T47" s="309">
        <f t="shared" si="17"/>
        <v>47455.126519886828</v>
      </c>
      <c r="U47" s="309">
        <f t="shared" si="18"/>
        <v>30644.769946587236</v>
      </c>
      <c r="V47" s="309">
        <f t="shared" si="19"/>
        <v>2959290.5024024285</v>
      </c>
      <c r="W47" s="309">
        <f t="shared" si="9"/>
        <v>667951</v>
      </c>
    </row>
    <row r="48" spans="2:23" x14ac:dyDescent="0.55000000000000004">
      <c r="B48" s="206">
        <v>17</v>
      </c>
      <c r="C48" s="27">
        <v>2043</v>
      </c>
      <c r="D48" s="306">
        <f t="shared" si="10"/>
        <v>8723.2222729916521</v>
      </c>
      <c r="E48" s="307">
        <f t="shared" si="0"/>
        <v>0.24417257323929953</v>
      </c>
      <c r="F48" s="308">
        <f t="shared" si="1"/>
        <v>1.4826899894689762</v>
      </c>
      <c r="G48" s="307">
        <f t="shared" si="2"/>
        <v>7.3251845223635081</v>
      </c>
      <c r="H48" s="307">
        <f t="shared" si="11"/>
        <v>0.24417257323929953</v>
      </c>
      <c r="I48" s="307">
        <f t="shared" si="3"/>
        <v>1.555077002678012E-2</v>
      </c>
      <c r="J48" s="307">
        <f t="shared" si="4"/>
        <v>6.5534897534528756E-3</v>
      </c>
      <c r="K48" s="307">
        <f t="shared" si="5"/>
        <v>5.7788194555502187E-2</v>
      </c>
      <c r="L48" s="307">
        <f t="shared" si="6"/>
        <v>0.16870362425905328</v>
      </c>
      <c r="M48" s="307">
        <f t="shared" si="7"/>
        <v>1.4616504173820193</v>
      </c>
      <c r="N48" s="307">
        <f t="shared" si="8"/>
        <v>7.097628015855677</v>
      </c>
      <c r="O48" s="309">
        <f t="shared" si="12"/>
        <v>2661481.048308365</v>
      </c>
      <c r="P48" s="309">
        <f t="shared" si="13"/>
        <v>100515.51222209867</v>
      </c>
      <c r="Q48" s="309">
        <f t="shared" si="14"/>
        <v>19001.188191161269</v>
      </c>
      <c r="R48" s="309">
        <f t="shared" si="15"/>
        <v>66138.588668772252</v>
      </c>
      <c r="S48" s="309">
        <f t="shared" si="16"/>
        <v>86426.866707912995</v>
      </c>
      <c r="T48" s="309">
        <f t="shared" si="17"/>
        <v>47795.96864839203</v>
      </c>
      <c r="U48" s="309">
        <f t="shared" si="18"/>
        <v>31229.563269764978</v>
      </c>
      <c r="V48" s="309">
        <f t="shared" si="19"/>
        <v>3012588.7360164681</v>
      </c>
      <c r="W48" s="309">
        <f t="shared" si="9"/>
        <v>635496</v>
      </c>
    </row>
    <row r="49" spans="2:23" x14ac:dyDescent="0.55000000000000004">
      <c r="B49" s="206">
        <v>18</v>
      </c>
      <c r="C49" s="27">
        <v>2044</v>
      </c>
      <c r="D49" s="306">
        <f t="shared" si="10"/>
        <v>8897.6867184514849</v>
      </c>
      <c r="E49" s="307">
        <f t="shared" si="0"/>
        <v>0.24905602470408553</v>
      </c>
      <c r="F49" s="308">
        <f t="shared" si="1"/>
        <v>1.4826899894689762</v>
      </c>
      <c r="G49" s="307">
        <f t="shared" si="2"/>
        <v>7.4716882128107782</v>
      </c>
      <c r="H49" s="307">
        <f t="shared" si="11"/>
        <v>0.24905602470408553</v>
      </c>
      <c r="I49" s="307">
        <f t="shared" si="3"/>
        <v>1.5555165137493538E-2</v>
      </c>
      <c r="J49" s="307">
        <f t="shared" si="4"/>
        <v>6.5534897534528756E-3</v>
      </c>
      <c r="K49" s="307">
        <f t="shared" si="5"/>
        <v>5.7799914850737967E-2</v>
      </c>
      <c r="L49" s="307">
        <f t="shared" si="6"/>
        <v>0.16899370156613885</v>
      </c>
      <c r="M49" s="307">
        <f t="shared" si="7"/>
        <v>1.4722821901977774</v>
      </c>
      <c r="N49" s="307">
        <f t="shared" si="8"/>
        <v>7.233193740774154</v>
      </c>
      <c r="O49" s="309">
        <f t="shared" si="12"/>
        <v>2714710.6692745322</v>
      </c>
      <c r="P49" s="309">
        <f t="shared" si="13"/>
        <v>100543.92089921699</v>
      </c>
      <c r="Q49" s="309">
        <f t="shared" si="14"/>
        <v>19001.188191161269</v>
      </c>
      <c r="R49" s="309">
        <f t="shared" si="15"/>
        <v>66152.00254666961</v>
      </c>
      <c r="S49" s="309">
        <f t="shared" si="16"/>
        <v>86575.473312332935</v>
      </c>
      <c r="T49" s="309">
        <f t="shared" si="17"/>
        <v>48143.627619467319</v>
      </c>
      <c r="U49" s="309">
        <f t="shared" si="18"/>
        <v>31826.052459406277</v>
      </c>
      <c r="V49" s="309">
        <f t="shared" si="19"/>
        <v>3066952.9343027864</v>
      </c>
      <c r="W49" s="309">
        <f t="shared" si="9"/>
        <v>604639</v>
      </c>
    </row>
    <row r="50" spans="2:23" x14ac:dyDescent="0.55000000000000004">
      <c r="B50" s="206">
        <v>19</v>
      </c>
      <c r="C50" s="27">
        <v>2045</v>
      </c>
      <c r="D50" s="306">
        <f t="shared" si="10"/>
        <v>9075.6404528205148</v>
      </c>
      <c r="E50" s="307">
        <f t="shared" si="0"/>
        <v>0.25403714519816722</v>
      </c>
      <c r="F50" s="308">
        <f t="shared" si="1"/>
        <v>1.4826899894689762</v>
      </c>
      <c r="G50" s="307">
        <f t="shared" si="2"/>
        <v>7.621121977066994</v>
      </c>
      <c r="H50" s="307">
        <f t="shared" si="11"/>
        <v>0.25403714519816722</v>
      </c>
      <c r="I50" s="307">
        <f t="shared" si="3"/>
        <v>1.5559648150421225E-2</v>
      </c>
      <c r="J50" s="307">
        <f t="shared" si="4"/>
        <v>6.5534897534528756E-3</v>
      </c>
      <c r="K50" s="307">
        <f t="shared" si="5"/>
        <v>5.7811869551878468E-2</v>
      </c>
      <c r="L50" s="307">
        <f t="shared" si="6"/>
        <v>0.16928958041936618</v>
      </c>
      <c r="M50" s="307">
        <f t="shared" si="7"/>
        <v>1.483126598469851</v>
      </c>
      <c r="N50" s="307">
        <f t="shared" si="8"/>
        <v>7.3714707801910011</v>
      </c>
      <c r="O50" s="309">
        <f t="shared" si="12"/>
        <v>2769004.8826600229</v>
      </c>
      <c r="P50" s="309">
        <f t="shared" si="13"/>
        <v>100572.89774987767</v>
      </c>
      <c r="Q50" s="309">
        <f t="shared" si="14"/>
        <v>19001.188191161269</v>
      </c>
      <c r="R50" s="309">
        <f t="shared" si="15"/>
        <v>66165.684702124912</v>
      </c>
      <c r="S50" s="309">
        <f t="shared" si="16"/>
        <v>86727.052048841288</v>
      </c>
      <c r="T50" s="309">
        <f t="shared" si="17"/>
        <v>48498.23976996413</v>
      </c>
      <c r="U50" s="309">
        <f t="shared" si="18"/>
        <v>32434.471432840404</v>
      </c>
      <c r="V50" s="309">
        <f t="shared" si="19"/>
        <v>3122404.4165548328</v>
      </c>
      <c r="W50" s="309">
        <f t="shared" si="9"/>
        <v>575300</v>
      </c>
    </row>
    <row r="51" spans="2:23" x14ac:dyDescent="0.55000000000000004">
      <c r="B51" s="206">
        <v>20</v>
      </c>
      <c r="C51" s="27">
        <v>2046</v>
      </c>
      <c r="D51" s="306">
        <f t="shared" si="10"/>
        <v>9257.1532618769252</v>
      </c>
      <c r="E51" s="307">
        <f t="shared" si="0"/>
        <v>0.25911788810213054</v>
      </c>
      <c r="F51" s="308">
        <f t="shared" si="1"/>
        <v>1.4826899894689762</v>
      </c>
      <c r="G51" s="307">
        <f t="shared" si="2"/>
        <v>7.7735444166083338</v>
      </c>
      <c r="H51" s="307">
        <f t="shared" si="11"/>
        <v>0.25911788810213054</v>
      </c>
      <c r="I51" s="307">
        <f t="shared" si="3"/>
        <v>1.5564220823607465E-2</v>
      </c>
      <c r="J51" s="307">
        <f t="shared" si="4"/>
        <v>6.5534897534528756E-3</v>
      </c>
      <c r="K51" s="307">
        <f t="shared" si="5"/>
        <v>5.7824063347041772E-2</v>
      </c>
      <c r="L51" s="307">
        <f t="shared" si="6"/>
        <v>0.16959137684965803</v>
      </c>
      <c r="M51" s="307">
        <f t="shared" si="7"/>
        <v>1.4941878949073661</v>
      </c>
      <c r="N51" s="307">
        <f t="shared" si="8"/>
        <v>7.5125133603961842</v>
      </c>
      <c r="O51" s="309">
        <f t="shared" si="12"/>
        <v>2824384.9803132229</v>
      </c>
      <c r="P51" s="309">
        <f t="shared" si="13"/>
        <v>100602.45413755157</v>
      </c>
      <c r="Q51" s="309">
        <f t="shared" si="14"/>
        <v>19001.188191161269</v>
      </c>
      <c r="R51" s="309">
        <f t="shared" si="15"/>
        <v>66179.640500689304</v>
      </c>
      <c r="S51" s="309">
        <f t="shared" si="16"/>
        <v>86881.662360079805</v>
      </c>
      <c r="T51" s="309">
        <f t="shared" si="17"/>
        <v>48859.944163470871</v>
      </c>
      <c r="U51" s="309">
        <f t="shared" si="18"/>
        <v>33055.058785743211</v>
      </c>
      <c r="V51" s="309">
        <f t="shared" si="19"/>
        <v>3178964.928451919</v>
      </c>
      <c r="W51" s="309">
        <f t="shared" si="9"/>
        <v>547403</v>
      </c>
    </row>
    <row r="52" spans="2:23" ht="14.7" thickBot="1" x14ac:dyDescent="0.6">
      <c r="T52" s="26"/>
      <c r="U52" s="26"/>
      <c r="V52" s="26"/>
      <c r="W52" s="26"/>
    </row>
    <row r="53" spans="2:23" ht="29.1" thickTop="1" x14ac:dyDescent="0.55000000000000004">
      <c r="T53" s="26"/>
      <c r="U53" s="776" t="s">
        <v>458</v>
      </c>
      <c r="V53" s="771">
        <f>SUM(V32:V51)</f>
        <v>53998036.234332629</v>
      </c>
      <c r="W53" s="772">
        <f>SUM(W32:W51)</f>
        <v>18333217</v>
      </c>
    </row>
    <row r="54" spans="2:23" ht="29.1" thickBot="1" x14ac:dyDescent="0.6">
      <c r="T54" s="26"/>
      <c r="U54" s="773" t="s">
        <v>462</v>
      </c>
      <c r="V54" s="774">
        <f>'SAFETY NOBUILD Crash'!V60</f>
        <v>58181554.477838978</v>
      </c>
      <c r="W54" s="775">
        <f>'SAFETY NOBUILD Crash'!W60</f>
        <v>19746708</v>
      </c>
    </row>
    <row r="55" spans="2:23" ht="15" thickTop="1" thickBot="1" x14ac:dyDescent="0.6">
      <c r="T55" s="26"/>
      <c r="U55" s="747"/>
      <c r="V55" s="748"/>
      <c r="W55" s="749"/>
    </row>
    <row r="56" spans="2:23" ht="27.3" customHeight="1" thickTop="1" x14ac:dyDescent="0.55000000000000004">
      <c r="T56" s="26"/>
      <c r="U56" s="955" t="s">
        <v>457</v>
      </c>
      <c r="V56" s="957">
        <f>'SAFETY NOBUILD Crash'!V60-V53</f>
        <v>4183518.2435063496</v>
      </c>
      <c r="W56" s="949">
        <f>'SAFETY NOBUILD Crash'!W60-W53</f>
        <v>1413491</v>
      </c>
    </row>
    <row r="57" spans="2:23" ht="14.7" thickBot="1" x14ac:dyDescent="0.6">
      <c r="U57" s="956"/>
      <c r="V57" s="958"/>
      <c r="W57" s="950"/>
    </row>
    <row r="58" spans="2:23" ht="14.7" thickTop="1" x14ac:dyDescent="0.55000000000000004">
      <c r="V58" s="15"/>
    </row>
  </sheetData>
  <mergeCells count="10">
    <mergeCell ref="D6:E6"/>
    <mergeCell ref="W56:W57"/>
    <mergeCell ref="D7:E7"/>
    <mergeCell ref="D8:E8"/>
    <mergeCell ref="D9:E9"/>
    <mergeCell ref="D10:E10"/>
    <mergeCell ref="H30:N30"/>
    <mergeCell ref="O30:V30"/>
    <mergeCell ref="U56:U57"/>
    <mergeCell ref="V56:V57"/>
  </mergeCells>
  <hyperlinks>
    <hyperlink ref="E28" r:id="rId1" xr:uid="{2E3DAD56-C56D-4438-B60B-63AA2F9DC90F}"/>
  </hyperlinks>
  <pageMargins left="0.7" right="0.7" top="0.75" bottom="0.75" header="0.3" footer="0.3"/>
  <pageSetup orientation="portrait"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E6FF3-3247-4DD7-A0A7-F89C80D984C4}">
  <sheetPr>
    <tabColor theme="0" tint="-0.249977111117893"/>
  </sheetPr>
  <dimension ref="C1:U54"/>
  <sheetViews>
    <sheetView workbookViewId="0">
      <selection activeCell="G9" sqref="G9"/>
    </sheetView>
  </sheetViews>
  <sheetFormatPr defaultRowHeight="14.4" x14ac:dyDescent="0.55000000000000004"/>
  <cols>
    <col min="3" max="10" width="16.578125" customWidth="1"/>
    <col min="12" max="12" width="10.15625" bestFit="1" customWidth="1"/>
    <col min="18" max="18" width="28.578125" customWidth="1"/>
  </cols>
  <sheetData>
    <row r="1" spans="3:21" ht="14.7" thickBot="1" x14ac:dyDescent="0.6"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3:21" ht="14.7" thickBot="1" x14ac:dyDescent="0.6">
      <c r="C2" s="933" t="s">
        <v>172</v>
      </c>
      <c r="D2" s="934"/>
      <c r="E2" s="935"/>
      <c r="H2" s="933" t="s">
        <v>173</v>
      </c>
      <c r="I2" s="934"/>
      <c r="J2" s="935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3:21" x14ac:dyDescent="0.55000000000000004">
      <c r="C3" s="920" t="s">
        <v>167</v>
      </c>
      <c r="D3" s="921"/>
      <c r="E3" s="156">
        <v>0.02</v>
      </c>
      <c r="H3" s="931" t="s">
        <v>169</v>
      </c>
      <c r="I3" s="932"/>
      <c r="J3" s="156">
        <v>0.02</v>
      </c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3:21" x14ac:dyDescent="0.55000000000000004">
      <c r="C4" s="537" t="s">
        <v>197</v>
      </c>
      <c r="D4" s="538"/>
      <c r="E4" s="200">
        <f>'TRIP GENERATION'!C25</f>
        <v>1999</v>
      </c>
      <c r="H4" s="199" t="s">
        <v>198</v>
      </c>
      <c r="I4" s="201"/>
      <c r="J4" s="200">
        <f>'TRIP GENERATION'!D25</f>
        <v>652.46208989074989</v>
      </c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</row>
    <row r="5" spans="3:21" x14ac:dyDescent="0.55000000000000004">
      <c r="C5" s="537" t="s">
        <v>199</v>
      </c>
      <c r="D5" s="538"/>
      <c r="E5" s="583">
        <v>0.74099999999999999</v>
      </c>
      <c r="F5" t="s">
        <v>402</v>
      </c>
      <c r="H5" s="199" t="s">
        <v>200</v>
      </c>
      <c r="I5" s="201"/>
      <c r="J5" s="740">
        <v>0.66900000000000004</v>
      </c>
      <c r="K5" s="19" t="s">
        <v>402</v>
      </c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3:21" ht="14.7" thickBot="1" x14ac:dyDescent="0.6">
      <c r="C6" s="535" t="s">
        <v>202</v>
      </c>
      <c r="D6" s="536"/>
      <c r="E6" s="549">
        <v>0.89</v>
      </c>
      <c r="H6" s="157" t="s">
        <v>201</v>
      </c>
      <c r="I6" s="159"/>
      <c r="J6" s="549">
        <v>0.59</v>
      </c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3:21" ht="15" thickTop="1" thickBot="1" x14ac:dyDescent="0.6">
      <c r="C7" s="965" t="s">
        <v>97</v>
      </c>
      <c r="D7" s="966"/>
      <c r="E7" s="966"/>
      <c r="F7" s="966"/>
      <c r="G7" s="966"/>
      <c r="H7" s="966"/>
      <c r="I7" s="966"/>
      <c r="J7" s="967"/>
      <c r="K7" s="19"/>
      <c r="L7" s="19"/>
      <c r="M7" s="19"/>
      <c r="N7" s="916"/>
      <c r="O7" s="916"/>
      <c r="P7" s="916"/>
      <c r="Q7" s="19"/>
      <c r="R7" s="19"/>
      <c r="S7" s="19"/>
      <c r="T7" s="19"/>
      <c r="U7" s="19"/>
    </row>
    <row r="8" spans="3:21" ht="101.4" thickTop="1" thickBot="1" x14ac:dyDescent="0.6">
      <c r="C8" s="558" t="s">
        <v>4</v>
      </c>
      <c r="D8" s="559" t="s">
        <v>2</v>
      </c>
      <c r="E8" s="560" t="s">
        <v>373</v>
      </c>
      <c r="F8" s="560" t="s">
        <v>98</v>
      </c>
      <c r="G8" s="561" t="s">
        <v>374</v>
      </c>
      <c r="H8" s="561" t="s">
        <v>375</v>
      </c>
      <c r="I8" s="560" t="s">
        <v>99</v>
      </c>
      <c r="J8" s="562" t="s">
        <v>203</v>
      </c>
      <c r="K8" s="19"/>
      <c r="L8" s="531" t="s">
        <v>176</v>
      </c>
      <c r="M8" s="19"/>
      <c r="N8" s="37"/>
      <c r="O8" s="37"/>
      <c r="P8" s="37"/>
      <c r="Q8" s="19"/>
      <c r="R8" s="19"/>
      <c r="S8" s="19"/>
      <c r="T8" s="19"/>
      <c r="U8" s="19"/>
    </row>
    <row r="9" spans="3:21" ht="15" thickTop="1" thickBot="1" x14ac:dyDescent="0.6">
      <c r="C9" s="551">
        <v>1</v>
      </c>
      <c r="D9" s="552">
        <v>2027</v>
      </c>
      <c r="E9" s="553">
        <f>E4*365*E5</f>
        <v>540659.53500000003</v>
      </c>
      <c r="F9" s="554">
        <v>7.08</v>
      </c>
      <c r="G9" s="555">
        <f>E9*F9*$E$6</f>
        <v>3406803.8619420002</v>
      </c>
      <c r="H9" s="553">
        <f>30*365*0.59</f>
        <v>6460.5</v>
      </c>
      <c r="I9" s="556">
        <v>6.31</v>
      </c>
      <c r="J9" s="557">
        <f>H9*I9*$J$6</f>
        <v>24051.795449999998</v>
      </c>
      <c r="K9" s="19"/>
      <c r="L9" s="534">
        <f>G9+J9</f>
        <v>3430855.6573920003</v>
      </c>
      <c r="M9" s="19"/>
      <c r="N9" s="19"/>
      <c r="O9" s="19"/>
      <c r="P9" s="19"/>
      <c r="Q9" s="19"/>
      <c r="R9" s="19"/>
      <c r="S9" s="19"/>
      <c r="T9" s="19"/>
      <c r="U9" s="19"/>
    </row>
    <row r="10" spans="3:21" ht="14.7" thickTop="1" x14ac:dyDescent="0.55000000000000004">
      <c r="C10" s="162">
        <v>2</v>
      </c>
      <c r="D10" s="27">
        <v>2028</v>
      </c>
      <c r="E10" s="28">
        <f>E9*1.02</f>
        <v>551472.72570000007</v>
      </c>
      <c r="F10" s="34">
        <v>7.08</v>
      </c>
      <c r="G10" s="35">
        <f t="shared" ref="G10:G28" si="0">E10*F10*$E$6</f>
        <v>3474939.9391808407</v>
      </c>
      <c r="H10" s="28">
        <f>H9*1.02</f>
        <v>6589.71</v>
      </c>
      <c r="I10" s="31">
        <v>6.31</v>
      </c>
      <c r="J10" s="163">
        <f t="shared" ref="J10:J28" si="1">H10*I10*$J$6</f>
        <v>24532.831358999996</v>
      </c>
      <c r="K10" s="19"/>
      <c r="L10" s="532"/>
      <c r="M10" s="19"/>
      <c r="N10" s="19"/>
      <c r="O10" s="19"/>
      <c r="P10" s="19"/>
      <c r="Q10" s="19"/>
      <c r="R10" s="19"/>
      <c r="S10" s="19"/>
      <c r="T10" s="19"/>
      <c r="U10" s="19"/>
    </row>
    <row r="11" spans="3:21" x14ac:dyDescent="0.55000000000000004">
      <c r="C11" s="162">
        <v>3</v>
      </c>
      <c r="D11" s="27">
        <v>2029</v>
      </c>
      <c r="E11" s="28">
        <f t="shared" ref="E11:E28" si="2">E10*1.02</f>
        <v>562502.18021400005</v>
      </c>
      <c r="F11" s="34">
        <v>7.08</v>
      </c>
      <c r="G11" s="35">
        <f t="shared" si="0"/>
        <v>3544438.7379644574</v>
      </c>
      <c r="H11" s="28">
        <f t="shared" ref="H11:H28" si="3">H10*1.02</f>
        <v>6721.5042000000003</v>
      </c>
      <c r="I11" s="31">
        <v>6.31</v>
      </c>
      <c r="J11" s="163">
        <f t="shared" si="1"/>
        <v>25023.48798618</v>
      </c>
      <c r="K11" s="19"/>
      <c r="L11" s="532"/>
      <c r="M11" s="19"/>
      <c r="N11" s="19"/>
      <c r="O11" s="19"/>
      <c r="P11" s="19"/>
      <c r="Q11" s="19"/>
      <c r="R11" s="19"/>
      <c r="S11" s="19"/>
      <c r="T11" s="19"/>
      <c r="U11" s="19"/>
    </row>
    <row r="12" spans="3:21" x14ac:dyDescent="0.55000000000000004">
      <c r="C12" s="162">
        <v>4</v>
      </c>
      <c r="D12" s="27">
        <v>2030</v>
      </c>
      <c r="E12" s="28">
        <f t="shared" si="2"/>
        <v>573752.22381828004</v>
      </c>
      <c r="F12" s="34">
        <v>7.08</v>
      </c>
      <c r="G12" s="35">
        <f t="shared" si="0"/>
        <v>3615327.5127237462</v>
      </c>
      <c r="H12" s="28">
        <f t="shared" si="3"/>
        <v>6855.9342840000008</v>
      </c>
      <c r="I12" s="31">
        <v>6.31</v>
      </c>
      <c r="J12" s="163">
        <f t="shared" si="1"/>
        <v>25523.957745903601</v>
      </c>
      <c r="K12" s="42"/>
      <c r="L12" s="532"/>
      <c r="M12" s="42"/>
      <c r="N12" s="42"/>
      <c r="O12" s="42"/>
      <c r="P12" s="19"/>
      <c r="Q12" s="19"/>
      <c r="R12" s="19"/>
      <c r="S12" s="19"/>
      <c r="T12" s="19"/>
      <c r="U12" s="19"/>
    </row>
    <row r="13" spans="3:21" x14ac:dyDescent="0.55000000000000004">
      <c r="C13" s="162">
        <v>5</v>
      </c>
      <c r="D13" s="27">
        <v>2031</v>
      </c>
      <c r="E13" s="28">
        <f t="shared" si="2"/>
        <v>585227.26829464559</v>
      </c>
      <c r="F13" s="34">
        <v>7.08</v>
      </c>
      <c r="G13" s="35">
        <f t="shared" si="0"/>
        <v>3687634.0629782211</v>
      </c>
      <c r="H13" s="28">
        <f t="shared" si="3"/>
        <v>6993.0529696800013</v>
      </c>
      <c r="I13" s="31">
        <v>6.31</v>
      </c>
      <c r="J13" s="163">
        <f t="shared" si="1"/>
        <v>26034.436900821674</v>
      </c>
      <c r="K13" s="41"/>
      <c r="L13" s="532"/>
      <c r="M13" s="41"/>
      <c r="N13" s="41"/>
      <c r="O13" s="41"/>
      <c r="P13" s="19"/>
      <c r="Q13" s="19"/>
      <c r="R13" s="19"/>
      <c r="S13" s="19"/>
      <c r="T13" s="19"/>
      <c r="U13" s="19"/>
    </row>
    <row r="14" spans="3:21" x14ac:dyDescent="0.55000000000000004">
      <c r="C14" s="162">
        <v>6</v>
      </c>
      <c r="D14" s="27">
        <v>2032</v>
      </c>
      <c r="E14" s="28">
        <f t="shared" si="2"/>
        <v>596931.81366053852</v>
      </c>
      <c r="F14" s="34">
        <v>7.08</v>
      </c>
      <c r="G14" s="35">
        <f t="shared" si="0"/>
        <v>3761386.7442377857</v>
      </c>
      <c r="H14" s="28">
        <f t="shared" si="3"/>
        <v>7132.9140290736013</v>
      </c>
      <c r="I14" s="31">
        <v>6.31</v>
      </c>
      <c r="J14" s="163">
        <f t="shared" si="1"/>
        <v>26555.125638838108</v>
      </c>
      <c r="K14" s="41"/>
      <c r="L14" s="532"/>
      <c r="M14" s="37"/>
      <c r="N14" s="37"/>
      <c r="O14" s="37"/>
      <c r="P14" s="19"/>
      <c r="Q14" s="19"/>
      <c r="R14" s="19"/>
      <c r="S14" s="19"/>
      <c r="T14" s="19"/>
      <c r="U14" s="19"/>
    </row>
    <row r="15" spans="3:21" x14ac:dyDescent="0.55000000000000004">
      <c r="C15" s="162">
        <v>7</v>
      </c>
      <c r="D15" s="27">
        <v>2033</v>
      </c>
      <c r="E15" s="28">
        <f t="shared" si="2"/>
        <v>608870.44993374927</v>
      </c>
      <c r="F15" s="34">
        <v>7.08</v>
      </c>
      <c r="G15" s="35">
        <f t="shared" si="0"/>
        <v>3836614.4791225414</v>
      </c>
      <c r="H15" s="28">
        <f t="shared" si="3"/>
        <v>7275.5723096550737</v>
      </c>
      <c r="I15" s="31">
        <v>6.31</v>
      </c>
      <c r="J15" s="163">
        <f t="shared" si="1"/>
        <v>27086.228151614869</v>
      </c>
      <c r="K15" s="38"/>
      <c r="L15" s="533"/>
      <c r="M15" s="39"/>
      <c r="N15" s="39"/>
      <c r="O15" s="39"/>
      <c r="P15" s="44"/>
      <c r="Q15" s="44"/>
      <c r="R15" s="44"/>
      <c r="S15" s="44"/>
      <c r="T15" s="44"/>
      <c r="U15" s="44"/>
    </row>
    <row r="16" spans="3:21" ht="14.5" customHeight="1" x14ac:dyDescent="0.55000000000000004">
      <c r="C16" s="162">
        <v>8</v>
      </c>
      <c r="D16" s="27">
        <v>2034</v>
      </c>
      <c r="E16" s="28">
        <f t="shared" si="2"/>
        <v>621047.85893242422</v>
      </c>
      <c r="F16" s="34">
        <v>7.08</v>
      </c>
      <c r="G16" s="35">
        <f t="shared" si="0"/>
        <v>3913346.7687049918</v>
      </c>
      <c r="H16" s="28">
        <f t="shared" si="3"/>
        <v>7421.0837558481753</v>
      </c>
      <c r="I16" s="31">
        <v>6.31</v>
      </c>
      <c r="J16" s="163">
        <f t="shared" si="1"/>
        <v>27627.95271464717</v>
      </c>
      <c r="K16" s="40"/>
      <c r="L16" s="533"/>
      <c r="M16" s="39"/>
      <c r="N16" s="39"/>
      <c r="O16" s="39"/>
      <c r="P16" s="43"/>
      <c r="Q16" s="43"/>
      <c r="R16" s="43"/>
      <c r="S16" s="43"/>
      <c r="T16" s="43"/>
      <c r="U16" s="43"/>
    </row>
    <row r="17" spans="3:21" x14ac:dyDescent="0.55000000000000004">
      <c r="C17" s="162">
        <v>9</v>
      </c>
      <c r="D17" s="27">
        <v>2035</v>
      </c>
      <c r="E17" s="28">
        <f t="shared" si="2"/>
        <v>633468.81611107267</v>
      </c>
      <c r="F17" s="34">
        <v>7.08</v>
      </c>
      <c r="G17" s="35">
        <f t="shared" si="0"/>
        <v>3991613.7040790911</v>
      </c>
      <c r="H17" s="28">
        <f t="shared" si="3"/>
        <v>7569.5054309651387</v>
      </c>
      <c r="I17" s="31">
        <v>6.31</v>
      </c>
      <c r="J17" s="163">
        <f t="shared" si="1"/>
        <v>28180.511768940112</v>
      </c>
      <c r="K17" s="40"/>
      <c r="L17" s="533"/>
      <c r="M17" s="39"/>
      <c r="N17" s="39"/>
      <c r="O17" s="39"/>
      <c r="P17" s="43"/>
      <c r="Q17" s="43"/>
      <c r="R17" s="43"/>
      <c r="S17" s="43"/>
      <c r="T17" s="43"/>
      <c r="U17" s="43"/>
    </row>
    <row r="18" spans="3:21" x14ac:dyDescent="0.55000000000000004">
      <c r="C18" s="162">
        <v>10</v>
      </c>
      <c r="D18" s="27">
        <v>2036</v>
      </c>
      <c r="E18" s="28">
        <f t="shared" si="2"/>
        <v>646138.19243329414</v>
      </c>
      <c r="F18" s="34">
        <v>7.08</v>
      </c>
      <c r="G18" s="35">
        <f t="shared" si="0"/>
        <v>4071445.9781606733</v>
      </c>
      <c r="H18" s="28">
        <f t="shared" si="3"/>
        <v>7720.8955395844414</v>
      </c>
      <c r="I18" s="31">
        <v>6.31</v>
      </c>
      <c r="J18" s="163">
        <f t="shared" si="1"/>
        <v>28744.122004318917</v>
      </c>
      <c r="K18" s="40"/>
      <c r="L18" s="533"/>
      <c r="M18" s="39"/>
      <c r="N18" s="39"/>
      <c r="O18" s="39"/>
      <c r="P18" s="43"/>
      <c r="Q18" s="43"/>
      <c r="R18" s="43"/>
      <c r="S18" s="43"/>
      <c r="T18" s="43"/>
      <c r="U18" s="43"/>
    </row>
    <row r="19" spans="3:21" x14ac:dyDescent="0.55000000000000004">
      <c r="C19" s="162">
        <v>11</v>
      </c>
      <c r="D19" s="27">
        <v>2037</v>
      </c>
      <c r="E19" s="28">
        <f t="shared" si="2"/>
        <v>659060.95628196001</v>
      </c>
      <c r="F19" s="34">
        <v>7.08</v>
      </c>
      <c r="G19" s="35">
        <f t="shared" si="0"/>
        <v>4152874.8977238862</v>
      </c>
      <c r="H19" s="28">
        <f t="shared" si="3"/>
        <v>7875.3134503761303</v>
      </c>
      <c r="I19" s="31">
        <v>6.31</v>
      </c>
      <c r="J19" s="163">
        <f t="shared" si="1"/>
        <v>29319.004444405291</v>
      </c>
      <c r="K19" s="40"/>
      <c r="L19" s="533"/>
      <c r="M19" s="39"/>
      <c r="N19" s="39"/>
      <c r="O19" s="39"/>
      <c r="P19" s="43"/>
      <c r="Q19" s="43"/>
      <c r="R19" s="43"/>
      <c r="S19" s="43"/>
      <c r="T19" s="43"/>
      <c r="U19" s="43"/>
    </row>
    <row r="20" spans="3:21" x14ac:dyDescent="0.55000000000000004">
      <c r="C20" s="162">
        <v>12</v>
      </c>
      <c r="D20" s="27">
        <v>2038</v>
      </c>
      <c r="E20" s="28">
        <f t="shared" si="2"/>
        <v>672242.17540759919</v>
      </c>
      <c r="F20" s="34">
        <v>7.08</v>
      </c>
      <c r="G20" s="35">
        <f t="shared" si="0"/>
        <v>4235932.3956783637</v>
      </c>
      <c r="H20" s="28">
        <f t="shared" si="3"/>
        <v>8032.8197193836531</v>
      </c>
      <c r="I20" s="31">
        <v>6.31</v>
      </c>
      <c r="J20" s="163">
        <f t="shared" si="1"/>
        <v>29905.3845332934</v>
      </c>
      <c r="K20" s="40"/>
      <c r="L20" s="533"/>
      <c r="M20" s="39"/>
      <c r="N20" s="39"/>
      <c r="O20" s="39"/>
      <c r="P20" s="43"/>
      <c r="Q20" s="43"/>
      <c r="R20" s="43"/>
      <c r="S20" s="43"/>
      <c r="T20" s="43"/>
      <c r="U20" s="43"/>
    </row>
    <row r="21" spans="3:21" x14ac:dyDescent="0.55000000000000004">
      <c r="C21" s="162">
        <v>13</v>
      </c>
      <c r="D21" s="27">
        <v>2039</v>
      </c>
      <c r="E21" s="28">
        <f t="shared" si="2"/>
        <v>685687.01891575113</v>
      </c>
      <c r="F21" s="34">
        <v>7.08</v>
      </c>
      <c r="G21" s="35">
        <f t="shared" si="0"/>
        <v>4320651.0435919315</v>
      </c>
      <c r="H21" s="28">
        <f t="shared" si="3"/>
        <v>8193.4761137713267</v>
      </c>
      <c r="I21" s="31">
        <v>6.31</v>
      </c>
      <c r="J21" s="163">
        <f t="shared" si="1"/>
        <v>30503.492223959271</v>
      </c>
      <c r="K21" s="40"/>
      <c r="L21" s="533"/>
      <c r="M21" s="39"/>
      <c r="N21" s="39"/>
      <c r="O21" s="39"/>
      <c r="P21" s="43"/>
      <c r="Q21" s="43"/>
      <c r="R21" s="43"/>
      <c r="S21" s="43"/>
      <c r="T21" s="43"/>
      <c r="U21" s="43"/>
    </row>
    <row r="22" spans="3:21" x14ac:dyDescent="0.55000000000000004">
      <c r="C22" s="162">
        <v>14</v>
      </c>
      <c r="D22" s="27">
        <v>2040</v>
      </c>
      <c r="E22" s="28">
        <f t="shared" si="2"/>
        <v>699400.75929406611</v>
      </c>
      <c r="F22" s="34">
        <v>7.08</v>
      </c>
      <c r="G22" s="35">
        <f t="shared" si="0"/>
        <v>4407064.0644637691</v>
      </c>
      <c r="H22" s="28">
        <f t="shared" si="3"/>
        <v>8357.3456360467535</v>
      </c>
      <c r="I22" s="31">
        <v>6.31</v>
      </c>
      <c r="J22" s="163">
        <f t="shared" si="1"/>
        <v>31113.562068438456</v>
      </c>
      <c r="K22" s="40"/>
      <c r="L22" s="533"/>
      <c r="M22" s="39"/>
      <c r="N22" s="39"/>
      <c r="O22" s="39"/>
      <c r="P22" s="43"/>
      <c r="Q22" s="43"/>
      <c r="R22" s="43"/>
      <c r="S22" s="43"/>
      <c r="T22" s="43"/>
      <c r="U22" s="43"/>
    </row>
    <row r="23" spans="3:21" x14ac:dyDescent="0.55000000000000004">
      <c r="C23" s="162">
        <v>15</v>
      </c>
      <c r="D23" s="27">
        <v>2041</v>
      </c>
      <c r="E23" s="28">
        <f t="shared" si="2"/>
        <v>713388.7744799474</v>
      </c>
      <c r="F23" s="34">
        <v>7.08</v>
      </c>
      <c r="G23" s="35">
        <f t="shared" si="0"/>
        <v>4495205.3457530448</v>
      </c>
      <c r="H23" s="28">
        <f t="shared" si="3"/>
        <v>8524.4925487676883</v>
      </c>
      <c r="I23" s="31">
        <v>6.31</v>
      </c>
      <c r="J23" s="163">
        <f t="shared" si="1"/>
        <v>31735.833309807222</v>
      </c>
      <c r="K23" s="40"/>
      <c r="L23" s="533"/>
      <c r="M23" s="39"/>
      <c r="N23" s="39"/>
      <c r="O23" s="39"/>
      <c r="P23" s="43"/>
      <c r="Q23" s="43"/>
      <c r="R23" s="43"/>
      <c r="S23" s="43"/>
      <c r="T23" s="43"/>
      <c r="U23" s="43"/>
    </row>
    <row r="24" spans="3:21" x14ac:dyDescent="0.55000000000000004">
      <c r="C24" s="162">
        <v>16</v>
      </c>
      <c r="D24" s="27">
        <v>2042</v>
      </c>
      <c r="E24" s="28">
        <f t="shared" si="2"/>
        <v>727656.54996954638</v>
      </c>
      <c r="F24" s="34">
        <v>7.08</v>
      </c>
      <c r="G24" s="35">
        <f t="shared" si="0"/>
        <v>4585109.4526681062</v>
      </c>
      <c r="H24" s="28">
        <f t="shared" si="3"/>
        <v>8694.9823997430431</v>
      </c>
      <c r="I24" s="31">
        <v>6.31</v>
      </c>
      <c r="J24" s="163">
        <f t="shared" si="1"/>
        <v>32370.549976003371</v>
      </c>
      <c r="K24" s="40"/>
      <c r="L24" s="533"/>
      <c r="M24" s="39"/>
      <c r="N24" s="39"/>
      <c r="O24" s="39"/>
      <c r="P24" s="43"/>
      <c r="Q24" s="43"/>
      <c r="R24" s="43"/>
      <c r="S24" s="43"/>
      <c r="T24" s="43"/>
      <c r="U24" s="43"/>
    </row>
    <row r="25" spans="3:21" x14ac:dyDescent="0.55000000000000004">
      <c r="C25" s="162">
        <v>17</v>
      </c>
      <c r="D25" s="27">
        <v>2043</v>
      </c>
      <c r="E25" s="28">
        <f t="shared" si="2"/>
        <v>742209.68096893735</v>
      </c>
      <c r="F25" s="34">
        <v>7.08</v>
      </c>
      <c r="G25" s="35">
        <f t="shared" si="0"/>
        <v>4676811.6417214684</v>
      </c>
      <c r="H25" s="28">
        <f t="shared" si="3"/>
        <v>8868.8820477379049</v>
      </c>
      <c r="I25" s="31">
        <v>6.31</v>
      </c>
      <c r="J25" s="163">
        <f t="shared" si="1"/>
        <v>33017.960975523441</v>
      </c>
      <c r="K25" s="40"/>
      <c r="L25" s="533"/>
      <c r="M25" s="39"/>
      <c r="N25" s="39"/>
      <c r="O25" s="39"/>
      <c r="P25" s="43"/>
      <c r="Q25" s="43"/>
      <c r="R25" s="43"/>
      <c r="S25" s="43"/>
      <c r="T25" s="43"/>
      <c r="U25" s="43"/>
    </row>
    <row r="26" spans="3:21" x14ac:dyDescent="0.55000000000000004">
      <c r="C26" s="162">
        <v>18</v>
      </c>
      <c r="D26" s="27">
        <v>2044</v>
      </c>
      <c r="E26" s="28">
        <f t="shared" si="2"/>
        <v>757053.87458831607</v>
      </c>
      <c r="F26" s="34">
        <v>7.08</v>
      </c>
      <c r="G26" s="35">
        <f t="shared" si="0"/>
        <v>4770347.874555897</v>
      </c>
      <c r="H26" s="28">
        <f t="shared" si="3"/>
        <v>9046.259688692664</v>
      </c>
      <c r="I26" s="31">
        <v>6.31</v>
      </c>
      <c r="J26" s="163">
        <f t="shared" si="1"/>
        <v>33678.320195033913</v>
      </c>
      <c r="K26" s="40"/>
      <c r="L26" s="533"/>
      <c r="M26" s="39"/>
      <c r="N26" s="39"/>
      <c r="O26" s="39"/>
      <c r="P26" s="43"/>
      <c r="Q26" s="43"/>
      <c r="R26" s="43"/>
      <c r="S26" s="43"/>
      <c r="T26" s="43"/>
      <c r="U26" s="43"/>
    </row>
    <row r="27" spans="3:21" x14ac:dyDescent="0.55000000000000004">
      <c r="C27" s="162">
        <v>19</v>
      </c>
      <c r="D27" s="27">
        <v>2045</v>
      </c>
      <c r="E27" s="28">
        <f t="shared" si="2"/>
        <v>772194.95208008238</v>
      </c>
      <c r="F27" s="34">
        <v>7.08</v>
      </c>
      <c r="G27" s="35">
        <f t="shared" si="0"/>
        <v>4865754.8320470154</v>
      </c>
      <c r="H27" s="28">
        <f t="shared" si="3"/>
        <v>9227.1848824665176</v>
      </c>
      <c r="I27" s="31">
        <v>6.31</v>
      </c>
      <c r="J27" s="163">
        <f t="shared" si="1"/>
        <v>34351.886598934594</v>
      </c>
      <c r="K27" s="40"/>
      <c r="L27" s="533"/>
      <c r="M27" s="39"/>
      <c r="N27" s="39"/>
      <c r="O27" s="39"/>
      <c r="P27" s="43"/>
      <c r="Q27" s="43"/>
      <c r="R27" s="43"/>
      <c r="S27" s="43"/>
      <c r="T27" s="43"/>
      <c r="U27" s="43"/>
    </row>
    <row r="28" spans="3:21" ht="14.7" thickBot="1" x14ac:dyDescent="0.6">
      <c r="C28" s="164">
        <v>20</v>
      </c>
      <c r="D28" s="165">
        <v>2046</v>
      </c>
      <c r="E28" s="167">
        <f t="shared" si="2"/>
        <v>787638.85112168407</v>
      </c>
      <c r="F28" s="550">
        <v>7.08</v>
      </c>
      <c r="G28" s="169">
        <f t="shared" si="0"/>
        <v>4963069.9286879553</v>
      </c>
      <c r="H28" s="167">
        <f t="shared" si="3"/>
        <v>9411.7285801158487</v>
      </c>
      <c r="I28" s="170">
        <v>6.31</v>
      </c>
      <c r="J28" s="171">
        <f t="shared" si="1"/>
        <v>35038.924330913287</v>
      </c>
      <c r="K28" s="40"/>
      <c r="L28" s="533"/>
      <c r="M28" s="39"/>
      <c r="N28" s="39"/>
      <c r="O28" s="39"/>
      <c r="P28" s="43"/>
      <c r="Q28" s="43"/>
      <c r="R28" s="43"/>
      <c r="S28" s="43"/>
      <c r="T28" s="43"/>
      <c r="U28" s="43"/>
    </row>
    <row r="29" spans="3:21" ht="15" thickTop="1" thickBot="1" x14ac:dyDescent="0.6">
      <c r="C29" s="10" t="s">
        <v>283</v>
      </c>
      <c r="F29" s="47"/>
      <c r="G29" s="777">
        <f>SUM(G9:G28)</f>
        <v>82776373.265985787</v>
      </c>
      <c r="H29" s="580"/>
      <c r="I29" s="580"/>
      <c r="J29" s="778">
        <f>SUM(J9:J28)</f>
        <v>584395.36837657681</v>
      </c>
      <c r="K29" s="40" t="s">
        <v>94</v>
      </c>
      <c r="L29" s="739">
        <f>G29+J29</f>
        <v>83360768.63436237</v>
      </c>
      <c r="M29" s="39"/>
      <c r="N29" s="39"/>
      <c r="O29" s="39"/>
      <c r="P29" s="43"/>
      <c r="Q29" s="43"/>
      <c r="R29" s="43"/>
      <c r="S29" s="43"/>
      <c r="T29" s="43"/>
      <c r="U29" s="43"/>
    </row>
    <row r="30" spans="3:21" ht="14.7" thickTop="1" x14ac:dyDescent="0.55000000000000004">
      <c r="K30" s="40"/>
      <c r="L30" s="39"/>
      <c r="M30" s="39"/>
      <c r="N30" s="39"/>
      <c r="O30" s="39"/>
      <c r="P30" s="43"/>
      <c r="Q30" s="43"/>
      <c r="R30" s="43"/>
      <c r="S30" s="43"/>
      <c r="T30" s="43"/>
      <c r="U30" s="43"/>
    </row>
    <row r="31" spans="3:21" x14ac:dyDescent="0.55000000000000004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</row>
    <row r="32" spans="3:21" ht="14.7" thickBot="1" x14ac:dyDescent="0.6"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</row>
    <row r="33" spans="3:21" ht="14.7" thickTop="1" x14ac:dyDescent="0.55000000000000004">
      <c r="C33" s="959" t="s">
        <v>376</v>
      </c>
      <c r="D33" s="960"/>
      <c r="E33" s="961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</row>
    <row r="34" spans="3:21" ht="14.7" thickBot="1" x14ac:dyDescent="0.6">
      <c r="C34" s="962" t="s">
        <v>377</v>
      </c>
      <c r="D34" s="963"/>
      <c r="E34" s="964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</row>
    <row r="35" spans="3:21" ht="14.7" thickBot="1" x14ac:dyDescent="0.6">
      <c r="C35" s="563" t="s">
        <v>378</v>
      </c>
      <c r="D35" s="564" t="s">
        <v>379</v>
      </c>
      <c r="E35" s="565" t="s">
        <v>380</v>
      </c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</row>
    <row r="36" spans="3:21" ht="14.7" thickTop="1" x14ac:dyDescent="0.55000000000000004">
      <c r="C36" s="566" t="s">
        <v>381</v>
      </c>
      <c r="D36" s="585">
        <v>1275</v>
      </c>
      <c r="E36" s="567">
        <v>5.0479056140628711E-2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</row>
    <row r="37" spans="3:21" x14ac:dyDescent="0.55000000000000004">
      <c r="C37" s="568" t="s">
        <v>382</v>
      </c>
      <c r="D37" s="586">
        <v>1519</v>
      </c>
      <c r="E37" s="569">
        <v>6.0139361786364719E-2</v>
      </c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3:21" x14ac:dyDescent="0.55000000000000004">
      <c r="C38" s="568" t="s">
        <v>383</v>
      </c>
      <c r="D38" s="586">
        <v>1358</v>
      </c>
      <c r="E38" s="569">
        <v>5.3765143716842191E-2</v>
      </c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</row>
    <row r="39" spans="3:21" ht="14.7" thickBot="1" x14ac:dyDescent="0.6">
      <c r="C39" s="592" t="s">
        <v>384</v>
      </c>
      <c r="D39" s="593">
        <v>1183</v>
      </c>
      <c r="E39" s="594">
        <v>4.6836645815187268E-2</v>
      </c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</row>
    <row r="40" spans="3:21" x14ac:dyDescent="0.55000000000000004">
      <c r="C40" s="595" t="s">
        <v>385</v>
      </c>
      <c r="D40" s="596">
        <v>4056</v>
      </c>
      <c r="E40" s="597">
        <v>0.16058278565207063</v>
      </c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</row>
    <row r="41" spans="3:21" x14ac:dyDescent="0.55000000000000004">
      <c r="C41" s="570" t="s">
        <v>386</v>
      </c>
      <c r="D41" s="587">
        <v>2618</v>
      </c>
      <c r="E41" s="571">
        <v>0.10365032860875763</v>
      </c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</row>
    <row r="42" spans="3:21" x14ac:dyDescent="0.55000000000000004">
      <c r="C42" s="570" t="s">
        <v>387</v>
      </c>
      <c r="D42" s="587">
        <v>1714</v>
      </c>
      <c r="E42" s="571">
        <v>6.7859688019637349E-2</v>
      </c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</row>
    <row r="43" spans="3:21" x14ac:dyDescent="0.55000000000000004">
      <c r="C43" s="570" t="s">
        <v>388</v>
      </c>
      <c r="D43" s="587">
        <v>1311</v>
      </c>
      <c r="E43" s="571">
        <v>5.190434713754058E-2</v>
      </c>
    </row>
    <row r="44" spans="3:21" x14ac:dyDescent="0.55000000000000004">
      <c r="C44" s="570" t="s">
        <v>389</v>
      </c>
      <c r="D44" s="587">
        <v>1450</v>
      </c>
      <c r="E44" s="571">
        <v>5.7407554042283634E-2</v>
      </c>
    </row>
    <row r="45" spans="3:21" x14ac:dyDescent="0.55000000000000004">
      <c r="C45" s="570" t="s">
        <v>390</v>
      </c>
      <c r="D45" s="587">
        <v>1090</v>
      </c>
      <c r="E45" s="571">
        <v>4.3154644073164938E-2</v>
      </c>
    </row>
    <row r="46" spans="3:21" x14ac:dyDescent="0.55000000000000004">
      <c r="C46" s="570" t="s">
        <v>391</v>
      </c>
      <c r="D46" s="587">
        <v>1771</v>
      </c>
      <c r="E46" s="571">
        <v>7.0116398764747803E-2</v>
      </c>
    </row>
    <row r="47" spans="3:21" ht="14.7" thickBot="1" x14ac:dyDescent="0.6">
      <c r="C47" s="572" t="s">
        <v>392</v>
      </c>
      <c r="D47" s="588">
        <v>1595</v>
      </c>
      <c r="E47" s="573">
        <v>6.3148309446511994E-2</v>
      </c>
    </row>
    <row r="48" spans="3:21" ht="15" thickTop="1" thickBot="1" x14ac:dyDescent="0.6">
      <c r="C48" s="598" t="s">
        <v>393</v>
      </c>
      <c r="D48" s="599">
        <v>1294</v>
      </c>
      <c r="E48" s="600">
        <v>5.1231293055665532E-2</v>
      </c>
      <c r="F48" s="581">
        <f>SUM(E40:E48)</f>
        <v>0.66905534880037998</v>
      </c>
      <c r="G48" s="582" t="s">
        <v>400</v>
      </c>
    </row>
    <row r="49" spans="3:7" ht="14.7" thickBot="1" x14ac:dyDescent="0.6">
      <c r="C49" s="574" t="s">
        <v>394</v>
      </c>
      <c r="D49" s="589">
        <v>1090</v>
      </c>
      <c r="E49" s="575">
        <v>4.3154644073164938E-2</v>
      </c>
    </row>
    <row r="50" spans="3:7" ht="15" thickTop="1" thickBot="1" x14ac:dyDescent="0.6">
      <c r="C50" s="598" t="s">
        <v>395</v>
      </c>
      <c r="D50" s="599">
        <v>737</v>
      </c>
      <c r="E50" s="600">
        <v>2.917887402011244E-2</v>
      </c>
      <c r="F50" s="741">
        <f>SUM(E40:E50)</f>
        <v>0.74138886689365735</v>
      </c>
      <c r="G50" s="742" t="s">
        <v>401</v>
      </c>
    </row>
    <row r="51" spans="3:7" x14ac:dyDescent="0.55000000000000004">
      <c r="C51" s="576" t="s">
        <v>396</v>
      </c>
      <c r="D51" s="590">
        <v>428</v>
      </c>
      <c r="E51" s="577">
        <v>1.6945126296618894E-2</v>
      </c>
    </row>
    <row r="52" spans="3:7" x14ac:dyDescent="0.55000000000000004">
      <c r="C52" s="568" t="s">
        <v>397</v>
      </c>
      <c r="D52" s="586">
        <v>496</v>
      </c>
      <c r="E52" s="569">
        <v>1.9637342624119092E-2</v>
      </c>
    </row>
    <row r="53" spans="3:7" ht="14.7" thickBot="1" x14ac:dyDescent="0.6">
      <c r="C53" s="578" t="s">
        <v>398</v>
      </c>
      <c r="D53" s="591">
        <v>273</v>
      </c>
      <c r="E53" s="579">
        <v>1.0808456726581678E-2</v>
      </c>
    </row>
    <row r="54" spans="3:7" ht="14.7" thickTop="1" x14ac:dyDescent="0.55000000000000004">
      <c r="C54" s="584" t="s">
        <v>399</v>
      </c>
    </row>
  </sheetData>
  <mergeCells count="8">
    <mergeCell ref="C33:E33"/>
    <mergeCell ref="C34:E34"/>
    <mergeCell ref="C7:J7"/>
    <mergeCell ref="N7:P7"/>
    <mergeCell ref="C2:E2"/>
    <mergeCell ref="C3:D3"/>
    <mergeCell ref="H2:J2"/>
    <mergeCell ref="H3:I3"/>
  </mergeCells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F8865-3D82-44C9-8B68-F38C5E8E3EB5}">
  <sheetPr>
    <tabColor theme="9" tint="0.39997558519241921"/>
  </sheetPr>
  <dimension ref="A1:H43"/>
  <sheetViews>
    <sheetView showGridLines="0" tabSelected="1" workbookViewId="0">
      <selection sqref="A1:B42"/>
    </sheetView>
  </sheetViews>
  <sheetFormatPr defaultRowHeight="14.4" x14ac:dyDescent="0.55000000000000004"/>
  <cols>
    <col min="1" max="1" width="40.83984375" customWidth="1"/>
    <col min="2" max="2" width="16.15625" style="66" bestFit="1" customWidth="1"/>
    <col min="3" max="3" width="24.83984375" style="66" customWidth="1"/>
  </cols>
  <sheetData>
    <row r="1" spans="1:3" x14ac:dyDescent="0.55000000000000004">
      <c r="A1" s="16" t="s">
        <v>459</v>
      </c>
      <c r="B1" s="512"/>
      <c r="C1" s="512"/>
    </row>
    <row r="2" spans="1:3" x14ac:dyDescent="0.55000000000000004">
      <c r="A2" s="17" t="s">
        <v>35</v>
      </c>
      <c r="B2" s="512"/>
      <c r="C2" s="512"/>
    </row>
    <row r="3" spans="1:3" ht="14.7" thickBot="1" x14ac:dyDescent="0.6">
      <c r="A3" s="17"/>
      <c r="B3" s="512"/>
      <c r="C3" s="512"/>
    </row>
    <row r="4" spans="1:3" ht="25.2" thickTop="1" thickBot="1" x14ac:dyDescent="0.6">
      <c r="A4" s="656" t="s">
        <v>364</v>
      </c>
      <c r="B4" s="657" t="s">
        <v>363</v>
      </c>
    </row>
    <row r="5" spans="1:3" x14ac:dyDescent="0.55000000000000004">
      <c r="A5" s="517" t="s">
        <v>36</v>
      </c>
      <c r="B5" s="518">
        <v>31</v>
      </c>
    </row>
    <row r="6" spans="1:3" x14ac:dyDescent="0.55000000000000004">
      <c r="A6" s="519" t="s">
        <v>37</v>
      </c>
      <c r="B6" s="520">
        <v>16</v>
      </c>
    </row>
    <row r="7" spans="1:3" x14ac:dyDescent="0.55000000000000004">
      <c r="A7" s="519" t="s">
        <v>38</v>
      </c>
      <c r="B7" s="520">
        <v>36</v>
      </c>
    </row>
    <row r="8" spans="1:3" x14ac:dyDescent="0.55000000000000004">
      <c r="A8" s="519" t="s">
        <v>39</v>
      </c>
      <c r="B8" s="520">
        <v>40</v>
      </c>
    </row>
    <row r="9" spans="1:3" x14ac:dyDescent="0.55000000000000004">
      <c r="A9" s="519" t="s">
        <v>40</v>
      </c>
      <c r="B9" s="520">
        <v>34</v>
      </c>
    </row>
    <row r="10" spans="1:3" x14ac:dyDescent="0.55000000000000004">
      <c r="A10" s="521" t="s">
        <v>41</v>
      </c>
      <c r="B10" s="520">
        <v>48</v>
      </c>
    </row>
    <row r="11" spans="1:3" x14ac:dyDescent="0.55000000000000004">
      <c r="A11" s="521" t="s">
        <v>42</v>
      </c>
      <c r="B11" s="520">
        <v>48</v>
      </c>
    </row>
    <row r="12" spans="1:3" x14ac:dyDescent="0.55000000000000004">
      <c r="A12" s="521" t="s">
        <v>43</v>
      </c>
      <c r="B12" s="520">
        <v>48</v>
      </c>
    </row>
    <row r="13" spans="1:3" x14ac:dyDescent="0.55000000000000004">
      <c r="A13" s="519" t="s">
        <v>44</v>
      </c>
      <c r="B13" s="520">
        <v>32</v>
      </c>
    </row>
    <row r="14" spans="1:3" x14ac:dyDescent="0.55000000000000004">
      <c r="A14" s="519" t="s">
        <v>45</v>
      </c>
      <c r="B14" s="520">
        <v>30</v>
      </c>
    </row>
    <row r="15" spans="1:3" x14ac:dyDescent="0.55000000000000004">
      <c r="A15" s="521" t="s">
        <v>46</v>
      </c>
      <c r="B15" s="520">
        <v>38</v>
      </c>
    </row>
    <row r="16" spans="1:3" x14ac:dyDescent="0.55000000000000004">
      <c r="A16" s="521" t="s">
        <v>47</v>
      </c>
      <c r="B16" s="520">
        <v>38</v>
      </c>
    </row>
    <row r="17" spans="1:8" x14ac:dyDescent="0.55000000000000004">
      <c r="A17" s="521" t="s">
        <v>48</v>
      </c>
      <c r="B17" s="520">
        <v>54</v>
      </c>
    </row>
    <row r="18" spans="1:8" x14ac:dyDescent="0.55000000000000004">
      <c r="A18" s="519" t="s">
        <v>49</v>
      </c>
      <c r="B18" s="520">
        <v>40</v>
      </c>
    </row>
    <row r="19" spans="1:8" x14ac:dyDescent="0.55000000000000004">
      <c r="A19" s="521" t="s">
        <v>50</v>
      </c>
      <c r="B19" s="520">
        <v>50</v>
      </c>
    </row>
    <row r="20" spans="1:8" x14ac:dyDescent="0.55000000000000004">
      <c r="A20" s="522" t="s">
        <v>51</v>
      </c>
      <c r="B20" s="523">
        <v>60</v>
      </c>
    </row>
    <row r="21" spans="1:8" x14ac:dyDescent="0.55000000000000004">
      <c r="A21" s="521" t="s">
        <v>52</v>
      </c>
      <c r="B21" s="520">
        <v>60</v>
      </c>
    </row>
    <row r="22" spans="1:8" x14ac:dyDescent="0.55000000000000004">
      <c r="A22" s="521" t="s">
        <v>53</v>
      </c>
      <c r="B22" s="520">
        <v>60</v>
      </c>
    </row>
    <row r="23" spans="1:8" x14ac:dyDescent="0.55000000000000004">
      <c r="A23" s="521" t="s">
        <v>54</v>
      </c>
      <c r="B23" s="520">
        <v>60</v>
      </c>
    </row>
    <row r="24" spans="1:8" x14ac:dyDescent="0.55000000000000004">
      <c r="A24" s="521" t="s">
        <v>55</v>
      </c>
      <c r="B24" s="520">
        <v>50</v>
      </c>
    </row>
    <row r="25" spans="1:8" ht="14.7" thickBot="1" x14ac:dyDescent="0.6">
      <c r="A25" s="524" t="s">
        <v>56</v>
      </c>
      <c r="B25" s="525">
        <v>60</v>
      </c>
    </row>
    <row r="26" spans="1:8" ht="21.9" customHeight="1" thickTop="1" x14ac:dyDescent="0.55000000000000004">
      <c r="A26" s="988" t="s">
        <v>57</v>
      </c>
      <c r="B26" s="988"/>
      <c r="C26" s="512"/>
    </row>
    <row r="27" spans="1:8" x14ac:dyDescent="0.55000000000000004">
      <c r="A27" s="989" t="s">
        <v>58</v>
      </c>
      <c r="B27" s="512"/>
      <c r="C27" s="512"/>
    </row>
    <row r="28" spans="1:8" ht="31.8" customHeight="1" x14ac:dyDescent="0.55000000000000004">
      <c r="A28" s="990" t="s">
        <v>59</v>
      </c>
      <c r="B28" s="990"/>
      <c r="C28" s="512"/>
    </row>
    <row r="29" spans="1:8" ht="14.7" thickBot="1" x14ac:dyDescent="0.6">
      <c r="A29" s="17"/>
      <c r="B29" s="512"/>
      <c r="C29" s="512"/>
    </row>
    <row r="30" spans="1:8" ht="15" thickTop="1" thickBot="1" x14ac:dyDescent="0.6">
      <c r="A30" s="968" t="s">
        <v>416</v>
      </c>
      <c r="B30" s="969"/>
      <c r="C30" s="659"/>
      <c r="D30" s="375"/>
      <c r="E30" s="375"/>
      <c r="F30" s="375"/>
      <c r="G30" s="375"/>
      <c r="H30" s="375"/>
    </row>
    <row r="31" spans="1:8" ht="14.7" thickTop="1" x14ac:dyDescent="0.55000000000000004">
      <c r="A31" s="660" t="s">
        <v>235</v>
      </c>
      <c r="B31" s="661">
        <v>2020</v>
      </c>
      <c r="C31" s="659"/>
      <c r="D31" s="375"/>
      <c r="E31" s="375"/>
      <c r="F31" s="375"/>
      <c r="G31" s="375"/>
      <c r="H31" s="375"/>
    </row>
    <row r="32" spans="1:8" x14ac:dyDescent="0.55000000000000004">
      <c r="A32" s="662" t="s">
        <v>417</v>
      </c>
      <c r="B32" s="780" t="s">
        <v>78</v>
      </c>
      <c r="C32" s="659"/>
      <c r="D32" s="375"/>
      <c r="E32" s="375"/>
      <c r="F32" s="375"/>
      <c r="G32" s="375"/>
      <c r="H32" s="375"/>
    </row>
    <row r="33" spans="1:8" x14ac:dyDescent="0.55000000000000004">
      <c r="A33" s="662" t="s">
        <v>418</v>
      </c>
      <c r="B33" s="658">
        <v>0</v>
      </c>
      <c r="C33" s="659"/>
      <c r="D33" s="375"/>
      <c r="E33" s="375"/>
      <c r="F33" s="375"/>
      <c r="G33" s="375"/>
      <c r="H33" s="375"/>
    </row>
    <row r="34" spans="1:8" x14ac:dyDescent="0.55000000000000004">
      <c r="A34" s="662" t="s">
        <v>419</v>
      </c>
      <c r="B34" s="780">
        <v>2046</v>
      </c>
      <c r="C34" s="659"/>
      <c r="D34" s="375"/>
      <c r="E34" s="375"/>
      <c r="F34" s="375"/>
      <c r="G34" s="375"/>
      <c r="H34" s="375"/>
    </row>
    <row r="35" spans="1:8" x14ac:dyDescent="0.55000000000000004">
      <c r="A35" s="662"/>
      <c r="B35" s="664"/>
      <c r="C35" s="659"/>
      <c r="D35" s="375"/>
      <c r="E35" s="375"/>
      <c r="F35" s="375"/>
      <c r="G35" s="375"/>
      <c r="H35" s="375"/>
    </row>
    <row r="36" spans="1:8" x14ac:dyDescent="0.55000000000000004">
      <c r="A36" s="662" t="s">
        <v>79</v>
      </c>
      <c r="B36" s="779">
        <f>(BCA_CapitalCosts!B11+BCA_CapitalCosts!B12)*((B20-20)/B20)</f>
        <v>41130137.297439322</v>
      </c>
      <c r="C36" s="659"/>
      <c r="D36" s="375"/>
      <c r="E36" s="375"/>
      <c r="F36" s="375"/>
      <c r="G36" s="375"/>
      <c r="H36" s="375"/>
    </row>
    <row r="37" spans="1:8" x14ac:dyDescent="0.55000000000000004">
      <c r="A37" s="666" t="s">
        <v>80</v>
      </c>
      <c r="B37" s="665">
        <f>B33+B36</f>
        <v>41130137.297439322</v>
      </c>
      <c r="C37" s="983"/>
      <c r="D37" s="984"/>
      <c r="E37" s="984"/>
      <c r="F37" s="984"/>
      <c r="G37" s="984"/>
      <c r="H37" s="984"/>
    </row>
    <row r="38" spans="1:8" x14ac:dyDescent="0.55000000000000004">
      <c r="A38" s="666" t="s">
        <v>448</v>
      </c>
      <c r="B38" s="665">
        <f>B37</f>
        <v>41130137.297439322</v>
      </c>
      <c r="C38" s="985"/>
      <c r="D38" s="986"/>
      <c r="E38" s="987"/>
      <c r="F38" s="987"/>
      <c r="G38" s="987"/>
      <c r="H38" s="987"/>
    </row>
    <row r="39" spans="1:8" ht="14.7" thickBot="1" x14ac:dyDescent="0.6">
      <c r="A39" s="667" t="s">
        <v>365</v>
      </c>
      <c r="B39" s="668">
        <f>B38/1.07^(B34-B31)</f>
        <v>7082424.2695607338</v>
      </c>
      <c r="C39" s="983"/>
      <c r="D39" s="984"/>
      <c r="E39" s="984"/>
      <c r="F39" s="984"/>
      <c r="G39" s="984"/>
      <c r="H39" s="984"/>
    </row>
    <row r="40" spans="1:8" ht="15" thickTop="1" thickBot="1" x14ac:dyDescent="0.6">
      <c r="A40" s="970" t="s">
        <v>366</v>
      </c>
      <c r="B40" s="971"/>
      <c r="C40" s="659"/>
      <c r="D40" s="375"/>
      <c r="E40" s="375"/>
      <c r="F40" s="375"/>
      <c r="G40" s="375"/>
      <c r="H40" s="375"/>
    </row>
    <row r="41" spans="1:8" ht="14.7" thickTop="1" x14ac:dyDescent="0.55000000000000004">
      <c r="A41" s="781" t="s">
        <v>82</v>
      </c>
      <c r="B41" s="782">
        <f>B38</f>
        <v>41130137.297439322</v>
      </c>
      <c r="C41" s="659"/>
      <c r="D41" s="375"/>
      <c r="E41" s="375"/>
      <c r="F41" s="375"/>
      <c r="G41" s="375"/>
      <c r="H41" s="375"/>
    </row>
    <row r="42" spans="1:8" ht="14.7" thickBot="1" x14ac:dyDescent="0.6">
      <c r="A42" s="663" t="s">
        <v>81</v>
      </c>
      <c r="B42" s="669">
        <f>B39</f>
        <v>7082424.2695607338</v>
      </c>
      <c r="C42" s="659"/>
      <c r="D42" s="375"/>
      <c r="E42" s="375"/>
      <c r="F42" s="375"/>
      <c r="G42" s="375"/>
      <c r="H42" s="375"/>
    </row>
    <row r="43" spans="1:8" ht="14.7" thickTop="1" x14ac:dyDescent="0.55000000000000004"/>
  </sheetData>
  <mergeCells count="5">
    <mergeCell ref="A30:B30"/>
    <mergeCell ref="A40:B40"/>
    <mergeCell ref="C38:D38"/>
    <mergeCell ref="A28:B28"/>
    <mergeCell ref="A26:B26"/>
  </mergeCells>
  <hyperlinks>
    <hyperlink ref="A6" location="fn17" display="fn17" xr:uid="{73123C96-9321-4CD6-893C-E4BEEAD73339}"/>
    <hyperlink ref="A7" location="fn17" display="fn17" xr:uid="{0963BE0D-3D4F-4F26-BBD0-E574D92FAD07}"/>
    <hyperlink ref="A8" location="fn17" display="fn17" xr:uid="{6106B967-2343-4F07-8FAF-C273D55E24C5}"/>
    <hyperlink ref="A9" location="fn17" display="fn17" xr:uid="{44A149B5-4065-42E7-A32E-E2343BE1A145}"/>
    <hyperlink ref="A13" location="fn18" display="fn18" xr:uid="{716377D6-CA54-406B-9F91-19F3E596881B}"/>
    <hyperlink ref="A14" location="fn18" display="fn18" xr:uid="{9D579CC4-7961-402D-ABD0-F07A49E7E8C9}"/>
    <hyperlink ref="A18" location="fn20" display="fn20" xr:uid="{672E3574-F0E4-4ECC-8D97-FC1C3871303A}"/>
    <hyperlink ref="A27" r:id="rId1" xr:uid="{1359A05F-6293-4AD6-AEE5-3ACAD35516CC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9E896-AFA4-4991-91DF-66AAD3FA35A6}">
  <sheetPr>
    <tabColor rgb="FF92D050"/>
  </sheetPr>
  <dimension ref="A1:AI75"/>
  <sheetViews>
    <sheetView showGridLines="0" topLeftCell="A27" workbookViewId="0">
      <selection activeCell="G65" sqref="G65"/>
    </sheetView>
  </sheetViews>
  <sheetFormatPr defaultRowHeight="14.4" x14ac:dyDescent="0.55000000000000004"/>
  <cols>
    <col min="1" max="1" width="32.83984375" style="206" customWidth="1"/>
    <col min="2" max="2" width="18.83984375" style="206" customWidth="1"/>
    <col min="3" max="3" width="18.68359375" style="418" customWidth="1"/>
    <col min="4" max="4" width="16.41796875" style="418" customWidth="1"/>
    <col min="5" max="10" width="12.83984375" style="418" customWidth="1"/>
    <col min="11" max="11" width="15.578125" style="418" customWidth="1"/>
    <col min="12" max="17" width="12.83984375" style="418" customWidth="1"/>
    <col min="18" max="18" width="15.26171875" style="418" customWidth="1"/>
    <col min="19" max="19" width="27.83984375" style="206" bestFit="1" customWidth="1"/>
    <col min="20" max="20" width="24.15625" style="22" bestFit="1" customWidth="1"/>
    <col min="21" max="21" width="22.15625" style="66" customWidth="1"/>
    <col min="22" max="22" width="21.41796875" style="66" bestFit="1" customWidth="1"/>
    <col min="23" max="28" width="17.15625" customWidth="1"/>
    <col min="29" max="29" width="16.26171875" bestFit="1" customWidth="1"/>
    <col min="30" max="34" width="17.15625" customWidth="1"/>
  </cols>
  <sheetData>
    <row r="1" spans="1:34" x14ac:dyDescent="0.55000000000000004">
      <c r="A1" s="235"/>
      <c r="B1" s="235"/>
      <c r="S1" s="235"/>
    </row>
    <row r="2" spans="1:34" x14ac:dyDescent="0.55000000000000004">
      <c r="A2" s="235"/>
      <c r="B2" s="235"/>
      <c r="S2" s="235"/>
    </row>
    <row r="3" spans="1:34" x14ac:dyDescent="0.55000000000000004">
      <c r="A3" s="235"/>
      <c r="B3" s="235"/>
      <c r="S3" s="235"/>
    </row>
    <row r="4" spans="1:34" x14ac:dyDescent="0.55000000000000004">
      <c r="S4" s="235"/>
    </row>
    <row r="5" spans="1:34" x14ac:dyDescent="0.55000000000000004">
      <c r="S5" s="235"/>
    </row>
    <row r="6" spans="1:34" x14ac:dyDescent="0.55000000000000004">
      <c r="S6" s="235"/>
    </row>
    <row r="7" spans="1:34" x14ac:dyDescent="0.55000000000000004">
      <c r="S7" s="235"/>
    </row>
    <row r="8" spans="1:34" x14ac:dyDescent="0.55000000000000004">
      <c r="A8" s="235"/>
      <c r="B8" s="235"/>
      <c r="S8" s="235"/>
    </row>
    <row r="9" spans="1:34" ht="14.7" thickBot="1" x14ac:dyDescent="0.6">
      <c r="S9" s="235"/>
    </row>
    <row r="10" spans="1:34" ht="15" thickTop="1" thickBot="1" x14ac:dyDescent="0.6">
      <c r="A10" s="838" t="s">
        <v>311</v>
      </c>
      <c r="B10" s="839"/>
      <c r="C10" s="840"/>
      <c r="S10" s="235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</row>
    <row r="11" spans="1:34" ht="14.7" thickTop="1" x14ac:dyDescent="0.55000000000000004">
      <c r="A11" s="385" t="s">
        <v>32</v>
      </c>
      <c r="B11" s="471">
        <f>D61</f>
        <v>395245.16586501448</v>
      </c>
      <c r="C11" s="431" t="s">
        <v>76</v>
      </c>
      <c r="S11" s="235"/>
    </row>
    <row r="12" spans="1:34" x14ac:dyDescent="0.55000000000000004">
      <c r="A12" s="386" t="s">
        <v>31</v>
      </c>
      <c r="B12" s="470">
        <f>D70</f>
        <v>61299960.780293979</v>
      </c>
      <c r="C12" s="432" t="s">
        <v>76</v>
      </c>
      <c r="S12" s="235"/>
    </row>
    <row r="13" spans="1:34" x14ac:dyDescent="0.55000000000000004">
      <c r="A13" s="386" t="s">
        <v>33</v>
      </c>
      <c r="B13" s="388">
        <v>2024</v>
      </c>
      <c r="C13" s="433" t="s">
        <v>236</v>
      </c>
      <c r="S13" s="235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</row>
    <row r="14" spans="1:34" ht="14.7" thickBot="1" x14ac:dyDescent="0.6">
      <c r="A14" s="387" t="s">
        <v>34</v>
      </c>
      <c r="B14" s="389">
        <v>2026</v>
      </c>
      <c r="C14" s="434" t="s">
        <v>88</v>
      </c>
      <c r="S14" s="235"/>
    </row>
    <row r="15" spans="1:34" ht="43.8" thickTop="1" thickBot="1" x14ac:dyDescent="0.6">
      <c r="D15" s="419"/>
      <c r="E15" s="419"/>
      <c r="F15" s="419"/>
      <c r="G15" s="419"/>
      <c r="H15" s="419"/>
      <c r="I15" s="419"/>
      <c r="J15" s="419"/>
      <c r="K15" s="419"/>
      <c r="L15" s="419"/>
      <c r="M15" s="419"/>
      <c r="N15" s="419"/>
      <c r="O15" s="419"/>
      <c r="P15" s="419"/>
      <c r="Q15" s="419"/>
      <c r="R15" s="419"/>
      <c r="S15" s="236"/>
      <c r="U15" s="285" t="s">
        <v>100</v>
      </c>
      <c r="V15" s="323" t="s">
        <v>286</v>
      </c>
      <c r="W15" s="286" t="s">
        <v>136</v>
      </c>
      <c r="X15" s="286" t="s">
        <v>195</v>
      </c>
      <c r="Y15" s="286" t="s">
        <v>101</v>
      </c>
      <c r="Z15" s="286" t="s">
        <v>287</v>
      </c>
      <c r="AA15" s="286" t="s">
        <v>137</v>
      </c>
      <c r="AB15" s="286" t="s">
        <v>102</v>
      </c>
      <c r="AC15" s="286" t="s">
        <v>110</v>
      </c>
      <c r="AD15" s="286" t="s">
        <v>103</v>
      </c>
      <c r="AE15" s="286" t="s">
        <v>212</v>
      </c>
      <c r="AF15" s="286" t="s">
        <v>104</v>
      </c>
      <c r="AG15" s="331" t="s">
        <v>291</v>
      </c>
      <c r="AH15" s="287" t="s">
        <v>196</v>
      </c>
    </row>
    <row r="16" spans="1:34" ht="15" thickTop="1" thickBot="1" x14ac:dyDescent="0.6">
      <c r="A16" s="526" t="s">
        <v>367</v>
      </c>
      <c r="B16" s="527">
        <v>0.98087299999999999</v>
      </c>
      <c r="C16" s="528" t="s">
        <v>369</v>
      </c>
      <c r="D16" s="529"/>
      <c r="E16" s="419"/>
      <c r="U16" s="802" t="s">
        <v>164</v>
      </c>
      <c r="V16" s="803"/>
      <c r="W16" s="803"/>
      <c r="X16" s="803"/>
      <c r="Y16" s="803"/>
      <c r="Z16" s="803"/>
      <c r="AA16" s="803"/>
      <c r="AB16" s="803"/>
      <c r="AC16" s="803"/>
      <c r="AD16" s="803"/>
      <c r="AE16" s="803"/>
      <c r="AF16" s="803"/>
      <c r="AG16" s="803"/>
      <c r="AH16" s="804"/>
    </row>
    <row r="17" spans="1:35" ht="15" thickTop="1" thickBot="1" x14ac:dyDescent="0.6">
      <c r="A17" s="526" t="s">
        <v>368</v>
      </c>
      <c r="B17" s="527">
        <v>0.96211184212900003</v>
      </c>
      <c r="C17" s="530"/>
      <c r="D17" s="530"/>
      <c r="E17" s="420"/>
      <c r="F17" s="420"/>
      <c r="G17" s="420"/>
      <c r="H17" s="420"/>
      <c r="I17" s="420"/>
      <c r="J17" s="420"/>
      <c r="K17" s="420"/>
      <c r="L17" s="420"/>
      <c r="M17" s="420"/>
      <c r="N17" s="420"/>
      <c r="O17" s="420"/>
      <c r="P17" s="420"/>
      <c r="Q17" s="420"/>
      <c r="R17" s="420"/>
      <c r="S17" s="236"/>
      <c r="T17" s="284" t="s">
        <v>226</v>
      </c>
      <c r="U17" s="288">
        <f t="shared" ref="U17:AH17" si="0">SUM(U18:U20)</f>
        <v>4940270</v>
      </c>
      <c r="V17" s="288">
        <f t="shared" si="0"/>
        <v>1350000</v>
      </c>
      <c r="W17" s="289">
        <f t="shared" si="0"/>
        <v>19000000</v>
      </c>
      <c r="X17" s="289">
        <f t="shared" si="0"/>
        <v>10000000</v>
      </c>
      <c r="Y17" s="290">
        <f t="shared" si="0"/>
        <v>6100000</v>
      </c>
      <c r="Z17" s="290">
        <f t="shared" si="0"/>
        <v>500000</v>
      </c>
      <c r="AA17" s="290">
        <f t="shared" si="0"/>
        <v>5009820</v>
      </c>
      <c r="AB17" s="290">
        <f t="shared" si="0"/>
        <v>4670000</v>
      </c>
      <c r="AC17" s="290">
        <f t="shared" si="0"/>
        <v>2738000</v>
      </c>
      <c r="AD17" s="290">
        <f t="shared" si="0"/>
        <v>19500000</v>
      </c>
      <c r="AE17" s="290">
        <f t="shared" si="0"/>
        <v>6000000</v>
      </c>
      <c r="AF17" s="290">
        <f t="shared" si="0"/>
        <v>250000</v>
      </c>
      <c r="AG17" s="290">
        <f t="shared" si="0"/>
        <v>1500000</v>
      </c>
      <c r="AH17" s="291">
        <f t="shared" si="0"/>
        <v>2000000</v>
      </c>
    </row>
    <row r="18" spans="1:35" ht="15" thickTop="1" thickBot="1" x14ac:dyDescent="0.6">
      <c r="A18" s="360" t="s">
        <v>234</v>
      </c>
      <c r="B18" s="361">
        <v>7.0000000000000007E-2</v>
      </c>
      <c r="C18" s="435" t="s">
        <v>235</v>
      </c>
      <c r="D18" s="443">
        <v>2020</v>
      </c>
      <c r="E18" s="450"/>
      <c r="F18" s="450"/>
      <c r="G18" s="450"/>
      <c r="H18" s="450"/>
      <c r="I18" s="450"/>
      <c r="J18" s="450"/>
      <c r="K18" s="450"/>
      <c r="L18" s="450"/>
      <c r="M18" s="450"/>
      <c r="N18" s="450"/>
      <c r="O18" s="450"/>
      <c r="P18" s="450"/>
      <c r="Q18" s="450"/>
      <c r="R18" s="450"/>
      <c r="T18" s="125" t="s">
        <v>122</v>
      </c>
      <c r="U18" s="237">
        <v>490270</v>
      </c>
      <c r="V18" s="324">
        <v>600000</v>
      </c>
      <c r="W18" s="211">
        <f>19000000*0.1</f>
        <v>1900000</v>
      </c>
      <c r="X18" s="211">
        <v>800000</v>
      </c>
      <c r="Y18" s="142">
        <v>300000</v>
      </c>
      <c r="Z18" s="142">
        <v>75000</v>
      </c>
      <c r="AA18" s="142">
        <v>722470</v>
      </c>
      <c r="AB18" s="142">
        <v>120000</v>
      </c>
      <c r="AC18" s="142">
        <v>410700</v>
      </c>
      <c r="AD18" s="142">
        <f>1900000</f>
        <v>1900000</v>
      </c>
      <c r="AE18" s="142">
        <v>600000</v>
      </c>
      <c r="AF18" s="251">
        <v>50000</v>
      </c>
      <c r="AG18" s="332">
        <v>150000</v>
      </c>
      <c r="AH18" s="252">
        <v>200000</v>
      </c>
    </row>
    <row r="19" spans="1:35" ht="15" thickTop="1" thickBot="1" x14ac:dyDescent="0.6">
      <c r="A19" s="816" t="s">
        <v>345</v>
      </c>
      <c r="B19" s="817"/>
      <c r="C19" s="817"/>
      <c r="D19" s="818"/>
      <c r="E19" s="451"/>
      <c r="F19" s="451"/>
      <c r="G19" s="451"/>
      <c r="H19" s="451"/>
      <c r="I19" s="451"/>
      <c r="J19" s="451"/>
      <c r="K19" s="451"/>
      <c r="L19" s="451"/>
      <c r="M19" s="451"/>
      <c r="N19" s="451"/>
      <c r="O19" s="451"/>
      <c r="P19" s="451"/>
      <c r="Q19" s="451"/>
      <c r="R19" s="451"/>
      <c r="T19" s="125" t="s">
        <v>224</v>
      </c>
      <c r="U19" s="237">
        <v>450000</v>
      </c>
      <c r="V19" s="324"/>
      <c r="W19" s="211"/>
      <c r="X19" s="211">
        <v>50000</v>
      </c>
      <c r="Y19" s="142"/>
      <c r="Z19" s="142"/>
      <c r="AA19" s="142"/>
      <c r="AB19" s="142"/>
      <c r="AC19" s="142"/>
      <c r="AD19" s="142">
        <v>595000</v>
      </c>
      <c r="AE19" s="142"/>
      <c r="AF19" s="251">
        <v>0</v>
      </c>
      <c r="AG19" s="332"/>
      <c r="AH19" s="252">
        <v>0</v>
      </c>
    </row>
    <row r="20" spans="1:35" ht="16.5" customHeight="1" thickTop="1" thickBot="1" x14ac:dyDescent="0.6">
      <c r="A20" s="510" t="s">
        <v>228</v>
      </c>
      <c r="B20" s="511" t="s">
        <v>229</v>
      </c>
      <c r="C20" s="808" t="s">
        <v>233</v>
      </c>
      <c r="D20" s="809"/>
      <c r="E20" s="822" t="s">
        <v>350</v>
      </c>
      <c r="F20" s="823"/>
      <c r="G20" s="823"/>
      <c r="H20" s="823"/>
      <c r="I20" s="823"/>
      <c r="J20" s="823"/>
      <c r="K20" s="824"/>
      <c r="L20" s="822" t="s">
        <v>356</v>
      </c>
      <c r="M20" s="823"/>
      <c r="N20" s="823"/>
      <c r="O20" s="823"/>
      <c r="P20" s="823"/>
      <c r="Q20" s="823"/>
      <c r="R20" s="824"/>
      <c r="S20" s="258"/>
      <c r="T20" s="125" t="s">
        <v>121</v>
      </c>
      <c r="U20" s="253">
        <v>4000000</v>
      </c>
      <c r="V20" s="325">
        <v>750000</v>
      </c>
      <c r="W20" s="254">
        <v>17100000</v>
      </c>
      <c r="X20" s="254">
        <f>7200000+1950000</f>
        <v>9150000</v>
      </c>
      <c r="Y20" s="255">
        <f>1200000+4600000</f>
        <v>5800000</v>
      </c>
      <c r="Z20" s="255">
        <v>425000</v>
      </c>
      <c r="AA20" s="255">
        <f>3612350+500000+55000+120000</f>
        <v>4287350</v>
      </c>
      <c r="AB20" s="255">
        <v>4550000</v>
      </c>
      <c r="AC20" s="255">
        <v>2327300</v>
      </c>
      <c r="AD20" s="255">
        <v>17005000</v>
      </c>
      <c r="AE20" s="255">
        <v>5400000</v>
      </c>
      <c r="AF20" s="256">
        <v>200000</v>
      </c>
      <c r="AG20" s="333">
        <v>1350000</v>
      </c>
      <c r="AH20" s="257">
        <v>1800000</v>
      </c>
    </row>
    <row r="21" spans="1:35" ht="21" customHeight="1" thickTop="1" thickBot="1" x14ac:dyDescent="0.6">
      <c r="A21" s="508" t="s">
        <v>230</v>
      </c>
      <c r="B21" s="676" t="s">
        <v>27</v>
      </c>
      <c r="C21" s="675" t="s">
        <v>231</v>
      </c>
      <c r="D21" s="509" t="s">
        <v>232</v>
      </c>
      <c r="E21" s="490" t="s">
        <v>115</v>
      </c>
      <c r="F21" s="491" t="s">
        <v>122</v>
      </c>
      <c r="G21" s="492" t="s">
        <v>3</v>
      </c>
      <c r="H21" s="492" t="s">
        <v>348</v>
      </c>
      <c r="I21" s="492" t="s">
        <v>341</v>
      </c>
      <c r="J21" s="492" t="s">
        <v>342</v>
      </c>
      <c r="K21" s="507" t="s">
        <v>343</v>
      </c>
      <c r="L21" s="490" t="s">
        <v>115</v>
      </c>
      <c r="M21" s="491" t="s">
        <v>122</v>
      </c>
      <c r="N21" s="492" t="s">
        <v>3</v>
      </c>
      <c r="O21" s="492" t="s">
        <v>348</v>
      </c>
      <c r="P21" s="492" t="s">
        <v>341</v>
      </c>
      <c r="Q21" s="492" t="s">
        <v>342</v>
      </c>
      <c r="R21" s="507" t="s">
        <v>343</v>
      </c>
      <c r="S21" s="259"/>
      <c r="T21" s="738" t="s">
        <v>227</v>
      </c>
      <c r="U21" s="819" t="s">
        <v>244</v>
      </c>
      <c r="V21" s="820"/>
      <c r="W21" s="820"/>
      <c r="X21" s="820"/>
      <c r="Y21" s="820"/>
      <c r="Z21" s="820"/>
      <c r="AA21" s="820"/>
      <c r="AB21" s="820"/>
      <c r="AC21" s="820"/>
      <c r="AD21" s="820"/>
      <c r="AE21" s="820"/>
      <c r="AF21" s="820"/>
      <c r="AG21" s="820"/>
      <c r="AH21" s="821"/>
    </row>
    <row r="22" spans="1:35" ht="14.5" customHeight="1" thickTop="1" x14ac:dyDescent="0.55000000000000004">
      <c r="A22" s="260"/>
      <c r="B22" s="261">
        <v>2021</v>
      </c>
      <c r="C22" s="436">
        <f>SUM(U22:AH22)</f>
        <v>0</v>
      </c>
      <c r="D22" s="421">
        <f>C22*B16</f>
        <v>0</v>
      </c>
      <c r="E22" s="452"/>
      <c r="F22" s="453"/>
      <c r="G22" s="444"/>
      <c r="H22" s="444"/>
      <c r="I22" s="444">
        <f>D22</f>
        <v>0</v>
      </c>
      <c r="J22" s="444"/>
      <c r="K22" s="454"/>
      <c r="L22" s="452"/>
      <c r="M22" s="453"/>
      <c r="N22" s="444"/>
      <c r="O22" s="444"/>
      <c r="P22" s="444">
        <f>C22</f>
        <v>0</v>
      </c>
      <c r="Q22" s="444"/>
      <c r="R22" s="454"/>
      <c r="S22" s="400" t="s">
        <v>332</v>
      </c>
      <c r="T22" s="283" t="s">
        <v>339</v>
      </c>
      <c r="U22" s="472"/>
      <c r="V22" s="473"/>
      <c r="W22" s="473"/>
      <c r="X22" s="473"/>
      <c r="Y22" s="473"/>
      <c r="Z22" s="473"/>
      <c r="AA22" s="473"/>
      <c r="AB22" s="473"/>
      <c r="AC22" s="473"/>
      <c r="AD22" s="473"/>
      <c r="AE22" s="473"/>
      <c r="AF22" s="473"/>
      <c r="AG22" s="473"/>
      <c r="AH22" s="474"/>
    </row>
    <row r="23" spans="1:35" s="64" customFormat="1" ht="14.5" customHeight="1" x14ac:dyDescent="0.55000000000000004">
      <c r="A23" s="406"/>
      <c r="B23" s="407">
        <v>2022</v>
      </c>
      <c r="C23" s="437">
        <f t="shared" ref="C23:C32" si="1">SUM(U23:AH23)</f>
        <v>410810</v>
      </c>
      <c r="D23" s="422">
        <f>C23*B17</f>
        <v>395245.16586501448</v>
      </c>
      <c r="E23" s="455">
        <f>$D$23*0.75</f>
        <v>296433.87439876085</v>
      </c>
      <c r="F23" s="456">
        <f>D23-E23</f>
        <v>98811.291466253635</v>
      </c>
      <c r="G23" s="457"/>
      <c r="H23" s="457"/>
      <c r="I23" s="457"/>
      <c r="J23" s="457"/>
      <c r="K23" s="458"/>
      <c r="L23" s="455">
        <f>$C$23*0.75</f>
        <v>308107.5</v>
      </c>
      <c r="M23" s="456">
        <f>C23-L23</f>
        <v>102702.5</v>
      </c>
      <c r="N23" s="457"/>
      <c r="O23" s="457"/>
      <c r="P23" s="457"/>
      <c r="Q23" s="457"/>
      <c r="R23" s="458"/>
      <c r="S23" s="392" t="s">
        <v>333</v>
      </c>
      <c r="T23" s="408" t="s">
        <v>471</v>
      </c>
      <c r="U23" s="475">
        <v>190810</v>
      </c>
      <c r="V23" s="476"/>
      <c r="W23" s="476"/>
      <c r="X23" s="476"/>
      <c r="Y23" s="476"/>
      <c r="Z23" s="476"/>
      <c r="AA23" s="476"/>
      <c r="AB23" s="476">
        <v>120000</v>
      </c>
      <c r="AC23" s="476">
        <v>100000</v>
      </c>
      <c r="AD23" s="476"/>
      <c r="AE23" s="476"/>
      <c r="AF23" s="476"/>
      <c r="AG23" s="476"/>
      <c r="AH23" s="477"/>
    </row>
    <row r="24" spans="1:35" ht="14.7" thickBot="1" x14ac:dyDescent="0.6">
      <c r="A24" s="390"/>
      <c r="B24" s="391">
        <v>2022</v>
      </c>
      <c r="C24" s="438">
        <f t="shared" si="1"/>
        <v>0</v>
      </c>
      <c r="D24" s="423">
        <f>C24*B17</f>
        <v>0</v>
      </c>
      <c r="E24" s="459"/>
      <c r="F24" s="460"/>
      <c r="G24" s="445"/>
      <c r="H24" s="445"/>
      <c r="I24" s="445">
        <f>D24</f>
        <v>0</v>
      </c>
      <c r="J24" s="445"/>
      <c r="K24" s="461"/>
      <c r="L24" s="459"/>
      <c r="M24" s="460"/>
      <c r="N24" s="445"/>
      <c r="O24" s="445"/>
      <c r="P24" s="445">
        <f>C24</f>
        <v>0</v>
      </c>
      <c r="Q24" s="445"/>
      <c r="R24" s="461"/>
      <c r="S24" s="259" t="s">
        <v>332</v>
      </c>
      <c r="T24" s="283" t="s">
        <v>340</v>
      </c>
      <c r="U24" s="478"/>
      <c r="V24" s="479"/>
      <c r="W24" s="479"/>
      <c r="X24" s="479"/>
      <c r="Y24" s="479"/>
      <c r="Z24" s="479"/>
      <c r="AA24" s="479"/>
      <c r="AB24" s="479"/>
      <c r="AC24" s="479"/>
      <c r="AD24" s="479"/>
      <c r="AE24" s="479"/>
      <c r="AF24" s="479"/>
      <c r="AG24" s="479"/>
      <c r="AH24" s="480"/>
      <c r="AI24" s="50"/>
    </row>
    <row r="25" spans="1:35" ht="15" thickTop="1" thickBot="1" x14ac:dyDescent="0.6">
      <c r="A25" s="810" t="s">
        <v>344</v>
      </c>
      <c r="B25" s="811"/>
      <c r="C25" s="811"/>
      <c r="D25" s="812"/>
      <c r="E25" s="813" t="s">
        <v>357</v>
      </c>
      <c r="F25" s="814"/>
      <c r="G25" s="814"/>
      <c r="H25" s="814"/>
      <c r="I25" s="814"/>
      <c r="J25" s="814"/>
      <c r="K25" s="815"/>
      <c r="L25" s="813" t="s">
        <v>349</v>
      </c>
      <c r="M25" s="814"/>
      <c r="N25" s="814"/>
      <c r="O25" s="814"/>
      <c r="P25" s="814"/>
      <c r="Q25" s="814"/>
      <c r="R25" s="815"/>
      <c r="S25" s="259"/>
      <c r="T25" s="283"/>
      <c r="U25" s="481"/>
      <c r="V25" s="482"/>
      <c r="W25" s="482"/>
      <c r="X25" s="482"/>
      <c r="Y25" s="482"/>
      <c r="Z25" s="482"/>
      <c r="AA25" s="482"/>
      <c r="AB25" s="482"/>
      <c r="AC25" s="482"/>
      <c r="AD25" s="482"/>
      <c r="AE25" s="482"/>
      <c r="AF25" s="482"/>
      <c r="AG25" s="482"/>
      <c r="AH25" s="483"/>
      <c r="AI25" s="50"/>
    </row>
    <row r="26" spans="1:35" s="64" customFormat="1" ht="14.7" thickTop="1" x14ac:dyDescent="0.55000000000000004">
      <c r="A26" s="409"/>
      <c r="B26" s="410">
        <v>2023</v>
      </c>
      <c r="C26" s="439">
        <f t="shared" si="1"/>
        <v>5796935</v>
      </c>
      <c r="D26" s="424">
        <f t="shared" ref="D26:D32" si="2">C26/(1+$B$18)^(B26-$D$18)</f>
        <v>4732025.7329742704</v>
      </c>
      <c r="E26" s="462">
        <f>D26*0.05</f>
        <v>236601.28664871352</v>
      </c>
      <c r="F26" s="463">
        <f>D26-E26</f>
        <v>4495424.4463255573</v>
      </c>
      <c r="G26" s="464"/>
      <c r="H26" s="464"/>
      <c r="I26" s="464"/>
      <c r="J26" s="464"/>
      <c r="K26" s="465"/>
      <c r="L26" s="462">
        <f>C26*0.05</f>
        <v>289846.75</v>
      </c>
      <c r="M26" s="463">
        <f>C26-L26</f>
        <v>5507088.25</v>
      </c>
      <c r="N26" s="464"/>
      <c r="O26" s="464"/>
      <c r="P26" s="464"/>
      <c r="Q26" s="464"/>
      <c r="R26" s="465"/>
      <c r="S26" s="393" t="s">
        <v>334</v>
      </c>
      <c r="T26" s="411" t="s">
        <v>337</v>
      </c>
      <c r="U26" s="484">
        <v>200000</v>
      </c>
      <c r="V26" s="485">
        <f>V18</f>
        <v>600000</v>
      </c>
      <c r="W26" s="485">
        <f>W18</f>
        <v>1900000</v>
      </c>
      <c r="X26" s="485">
        <v>400000</v>
      </c>
      <c r="Y26" s="485">
        <f>Y18</f>
        <v>300000</v>
      </c>
      <c r="Z26" s="485">
        <f>Z18</f>
        <v>75000</v>
      </c>
      <c r="AA26" s="485">
        <f>AA18/2</f>
        <v>361235</v>
      </c>
      <c r="AB26" s="485"/>
      <c r="AC26" s="485">
        <f>AC18-AC23</f>
        <v>310700</v>
      </c>
      <c r="AD26" s="485">
        <f>AD18/2</f>
        <v>950000</v>
      </c>
      <c r="AE26" s="485">
        <f>AE18/2</f>
        <v>300000</v>
      </c>
      <c r="AF26" s="485">
        <f>AF18</f>
        <v>50000</v>
      </c>
      <c r="AG26" s="485">
        <f>AG18</f>
        <v>150000</v>
      </c>
      <c r="AH26" s="486">
        <f>AH18</f>
        <v>200000</v>
      </c>
      <c r="AI26" s="19"/>
    </row>
    <row r="27" spans="1:35" s="64" customFormat="1" x14ac:dyDescent="0.55000000000000004">
      <c r="A27" s="412"/>
      <c r="B27" s="413">
        <v>2023</v>
      </c>
      <c r="C27" s="440">
        <f>SUM(U27:AH27)</f>
        <v>4550000</v>
      </c>
      <c r="D27" s="425">
        <f>C27/(1+$B$18)^(B27-$D$18)</f>
        <v>3714155.3398533762</v>
      </c>
      <c r="E27" s="455"/>
      <c r="F27" s="456"/>
      <c r="G27" s="457"/>
      <c r="H27" s="457"/>
      <c r="I27" s="457">
        <f>D27-(J27+K27)</f>
        <v>2971324.2718827007</v>
      </c>
      <c r="J27" s="457">
        <f>D27*0.1</f>
        <v>371415.53398533765</v>
      </c>
      <c r="K27" s="458">
        <f>D27*0.1</f>
        <v>371415.53398533765</v>
      </c>
      <c r="L27" s="455"/>
      <c r="M27" s="456"/>
      <c r="N27" s="457"/>
      <c r="O27" s="457"/>
      <c r="P27" s="457">
        <f>C27-(Q27+R27)</f>
        <v>3640000</v>
      </c>
      <c r="Q27" s="457">
        <f>C27*0.1</f>
        <v>455000</v>
      </c>
      <c r="R27" s="458">
        <f>C27*0.1</f>
        <v>455000</v>
      </c>
      <c r="S27" s="394" t="s">
        <v>335</v>
      </c>
      <c r="T27" s="408" t="s">
        <v>477</v>
      </c>
      <c r="U27" s="478"/>
      <c r="V27" s="479"/>
      <c r="W27" s="479"/>
      <c r="X27" s="479"/>
      <c r="Y27" s="479"/>
      <c r="Z27" s="479"/>
      <c r="AA27" s="479"/>
      <c r="AB27" s="479">
        <v>4550000</v>
      </c>
      <c r="AC27" s="479"/>
      <c r="AD27" s="479"/>
      <c r="AE27" s="479"/>
      <c r="AF27" s="479"/>
      <c r="AG27" s="479"/>
      <c r="AH27" s="480"/>
      <c r="AI27" s="19"/>
    </row>
    <row r="28" spans="1:35" s="64" customFormat="1" x14ac:dyDescent="0.55000000000000004">
      <c r="A28" s="412"/>
      <c r="B28" s="413">
        <v>2024</v>
      </c>
      <c r="C28" s="440">
        <f t="shared" si="1"/>
        <v>2110695</v>
      </c>
      <c r="D28" s="425">
        <f t="shared" si="2"/>
        <v>1610239.1095926512</v>
      </c>
      <c r="E28" s="455">
        <f>D28*0.05</f>
        <v>80511.955479632568</v>
      </c>
      <c r="F28" s="456">
        <f>D28-E28</f>
        <v>1529727.1541130187</v>
      </c>
      <c r="G28" s="457"/>
      <c r="H28" s="457"/>
      <c r="I28" s="457"/>
      <c r="J28" s="457"/>
      <c r="K28" s="458"/>
      <c r="L28" s="455">
        <f>C28*0.05</f>
        <v>105534.75</v>
      </c>
      <c r="M28" s="456">
        <f>C28-L28</f>
        <v>2005160.25</v>
      </c>
      <c r="N28" s="457"/>
      <c r="O28" s="457"/>
      <c r="P28" s="457"/>
      <c r="Q28" s="457"/>
      <c r="R28" s="458"/>
      <c r="S28" s="394" t="s">
        <v>334</v>
      </c>
      <c r="T28" s="408" t="s">
        <v>472</v>
      </c>
      <c r="U28" s="478">
        <v>99460</v>
      </c>
      <c r="V28" s="479"/>
      <c r="W28" s="479"/>
      <c r="X28" s="479">
        <v>400000</v>
      </c>
      <c r="Y28" s="479"/>
      <c r="Z28" s="479"/>
      <c r="AA28" s="479">
        <f>AA18/2</f>
        <v>361235</v>
      </c>
      <c r="AB28" s="479"/>
      <c r="AC28" s="479"/>
      <c r="AD28" s="479">
        <f>AD26</f>
        <v>950000</v>
      </c>
      <c r="AE28" s="479">
        <f>AE26</f>
        <v>300000</v>
      </c>
      <c r="AF28" s="479"/>
      <c r="AG28" s="479"/>
      <c r="AH28" s="480"/>
      <c r="AI28" s="19"/>
    </row>
    <row r="29" spans="1:35" s="64" customFormat="1" x14ac:dyDescent="0.55000000000000004">
      <c r="A29" s="406"/>
      <c r="B29" s="407">
        <v>2024</v>
      </c>
      <c r="C29" s="440">
        <f t="shared" si="1"/>
        <v>8996983.3333333321</v>
      </c>
      <c r="D29" s="422">
        <f t="shared" si="2"/>
        <v>6863755.5078713829</v>
      </c>
      <c r="E29" s="455"/>
      <c r="F29" s="456"/>
      <c r="G29" s="457"/>
      <c r="H29" s="457"/>
      <c r="I29" s="457">
        <f>D29-(J29+K29)</f>
        <v>5491004.4062971063</v>
      </c>
      <c r="J29" s="457">
        <f>D29*0.1</f>
        <v>686375.55078713829</v>
      </c>
      <c r="K29" s="458">
        <f>D29*0.1</f>
        <v>686375.55078713829</v>
      </c>
      <c r="L29" s="455"/>
      <c r="M29" s="456"/>
      <c r="N29" s="457"/>
      <c r="O29" s="457"/>
      <c r="P29" s="457">
        <f>C29-(Q29+R29)</f>
        <v>7197586.666666666</v>
      </c>
      <c r="Q29" s="457">
        <f>C29*0.1</f>
        <v>899698.33333333326</v>
      </c>
      <c r="R29" s="458">
        <f>C29*0.1</f>
        <v>899698.33333333326</v>
      </c>
      <c r="S29" s="394" t="s">
        <v>335</v>
      </c>
      <c r="T29" s="408" t="s">
        <v>473</v>
      </c>
      <c r="U29" s="478"/>
      <c r="V29" s="479"/>
      <c r="W29" s="479">
        <f>W20/3</f>
        <v>5700000</v>
      </c>
      <c r="X29" s="479"/>
      <c r="Y29" s="479">
        <f>Y20/3</f>
        <v>1933333.3333333333</v>
      </c>
      <c r="Z29" s="479"/>
      <c r="AA29" s="479"/>
      <c r="AB29" s="479"/>
      <c r="AC29" s="479">
        <f>AC20/2</f>
        <v>1163650</v>
      </c>
      <c r="AD29" s="479"/>
      <c r="AE29" s="479"/>
      <c r="AF29" s="479">
        <f>AF20</f>
        <v>200000</v>
      </c>
      <c r="AG29" s="479"/>
      <c r="AH29" s="480"/>
      <c r="AI29" s="19"/>
    </row>
    <row r="30" spans="1:35" s="64" customFormat="1" x14ac:dyDescent="0.55000000000000004">
      <c r="A30" s="406"/>
      <c r="B30" s="407">
        <v>2024</v>
      </c>
      <c r="C30" s="440">
        <f t="shared" si="1"/>
        <v>1095000</v>
      </c>
      <c r="D30" s="422">
        <f t="shared" si="2"/>
        <v>835370.2571920401</v>
      </c>
      <c r="E30" s="455"/>
      <c r="F30" s="456"/>
      <c r="G30" s="457">
        <f>D30</f>
        <v>835370.2571920401</v>
      </c>
      <c r="H30" s="457"/>
      <c r="I30" s="457"/>
      <c r="J30" s="457"/>
      <c r="K30" s="458"/>
      <c r="L30" s="455"/>
      <c r="M30" s="456"/>
      <c r="N30" s="457">
        <f>C30</f>
        <v>1095000</v>
      </c>
      <c r="O30" s="457"/>
      <c r="P30" s="457"/>
      <c r="Q30" s="457"/>
      <c r="R30" s="458"/>
      <c r="S30" s="394" t="s">
        <v>336</v>
      </c>
      <c r="T30" s="408" t="s">
        <v>474</v>
      </c>
      <c r="U30" s="478">
        <v>450000</v>
      </c>
      <c r="V30" s="479"/>
      <c r="W30" s="479"/>
      <c r="X30" s="479">
        <v>50000</v>
      </c>
      <c r="Y30" s="479"/>
      <c r="Z30" s="479"/>
      <c r="AA30" s="479"/>
      <c r="AB30" s="479"/>
      <c r="AC30" s="479"/>
      <c r="AD30" s="479">
        <v>595000</v>
      </c>
      <c r="AE30" s="479"/>
      <c r="AF30" s="479"/>
      <c r="AG30" s="479"/>
      <c r="AH30" s="480"/>
      <c r="AI30" s="19"/>
    </row>
    <row r="31" spans="1:35" s="64" customFormat="1" x14ac:dyDescent="0.55000000000000004">
      <c r="A31" s="406"/>
      <c r="B31" s="407">
        <v>2025</v>
      </c>
      <c r="C31" s="440">
        <f t="shared" si="1"/>
        <v>32143158.333333336</v>
      </c>
      <c r="D31" s="422">
        <f t="shared" si="2"/>
        <v>22917627.65662197</v>
      </c>
      <c r="E31" s="455"/>
      <c r="F31" s="456"/>
      <c r="G31" s="457"/>
      <c r="H31" s="457"/>
      <c r="I31" s="457">
        <f>D31-(J31+K31)</f>
        <v>18334102.125297576</v>
      </c>
      <c r="J31" s="457">
        <f>D31*0.1</f>
        <v>2291762.765662197</v>
      </c>
      <c r="K31" s="458">
        <f>D31*0.1</f>
        <v>2291762.765662197</v>
      </c>
      <c r="L31" s="455"/>
      <c r="M31" s="456"/>
      <c r="N31" s="457"/>
      <c r="O31" s="457"/>
      <c r="P31" s="457">
        <f>C31-(Q31+R31)</f>
        <v>25714526.666666668</v>
      </c>
      <c r="Q31" s="457">
        <f>C31*0.1</f>
        <v>3214315.833333334</v>
      </c>
      <c r="R31" s="458">
        <f>C31*0.1</f>
        <v>3214315.833333334</v>
      </c>
      <c r="S31" s="394" t="s">
        <v>335</v>
      </c>
      <c r="T31" s="408" t="s">
        <v>475</v>
      </c>
      <c r="U31" s="478">
        <v>2000000</v>
      </c>
      <c r="V31" s="479">
        <f>V20</f>
        <v>750000</v>
      </c>
      <c r="W31" s="479">
        <f>W20/3</f>
        <v>5700000</v>
      </c>
      <c r="X31" s="479">
        <f>3600000+975000</f>
        <v>4575000</v>
      </c>
      <c r="Y31" s="479">
        <f>Y20/3</f>
        <v>1933333.3333333333</v>
      </c>
      <c r="Z31" s="479">
        <f>Z20</f>
        <v>425000</v>
      </c>
      <c r="AA31" s="479">
        <f>AA20/2</f>
        <v>2143675</v>
      </c>
      <c r="AB31" s="479"/>
      <c r="AC31" s="479">
        <f>AC20/2</f>
        <v>1163650</v>
      </c>
      <c r="AD31" s="479">
        <f>AD20/2</f>
        <v>8502500</v>
      </c>
      <c r="AE31" s="479">
        <f>AE20/2</f>
        <v>2700000</v>
      </c>
      <c r="AF31" s="479"/>
      <c r="AG31" s="479">
        <f>AG20</f>
        <v>1350000</v>
      </c>
      <c r="AH31" s="480">
        <f>AH20/2</f>
        <v>900000</v>
      </c>
      <c r="AI31" s="19"/>
    </row>
    <row r="32" spans="1:35" s="64" customFormat="1" ht="14.7" thickBot="1" x14ac:dyDescent="0.6">
      <c r="A32" s="414"/>
      <c r="B32" s="415">
        <v>2026</v>
      </c>
      <c r="C32" s="441">
        <f t="shared" si="1"/>
        <v>28454508.333333336</v>
      </c>
      <c r="D32" s="426">
        <f t="shared" si="2"/>
        <v>18960440.360438824</v>
      </c>
      <c r="E32" s="466"/>
      <c r="F32" s="441"/>
      <c r="G32" s="449"/>
      <c r="H32" s="449"/>
      <c r="I32" s="449">
        <f>D32-(J32+K32)</f>
        <v>15168352.288351059</v>
      </c>
      <c r="J32" s="449">
        <f>D32*0.1</f>
        <v>1896044.0360438824</v>
      </c>
      <c r="K32" s="467">
        <f>D32*0.1</f>
        <v>1896044.0360438824</v>
      </c>
      <c r="L32" s="466"/>
      <c r="M32" s="441"/>
      <c r="N32" s="449"/>
      <c r="O32" s="449"/>
      <c r="P32" s="449">
        <f>C32-(Q32+R32)</f>
        <v>22763606.666666668</v>
      </c>
      <c r="Q32" s="449">
        <f>C32*0.1</f>
        <v>2845450.833333334</v>
      </c>
      <c r="R32" s="467">
        <f>C32*0.1</f>
        <v>2845450.833333334</v>
      </c>
      <c r="S32" s="416" t="s">
        <v>335</v>
      </c>
      <c r="T32" s="417" t="s">
        <v>476</v>
      </c>
      <c r="U32" s="481">
        <v>2000000</v>
      </c>
      <c r="V32" s="482"/>
      <c r="W32" s="482">
        <f>W20/3</f>
        <v>5700000</v>
      </c>
      <c r="X32" s="482">
        <f>3600000+975000</f>
        <v>4575000</v>
      </c>
      <c r="Y32" s="482">
        <f>Y20/3</f>
        <v>1933333.3333333333</v>
      </c>
      <c r="Z32" s="482"/>
      <c r="AA32" s="482">
        <f>AA20/2</f>
        <v>2143675</v>
      </c>
      <c r="AB32" s="482"/>
      <c r="AC32" s="482"/>
      <c r="AD32" s="482">
        <f>AD20/2</f>
        <v>8502500</v>
      </c>
      <c r="AE32" s="482">
        <f>AE20/2</f>
        <v>2700000</v>
      </c>
      <c r="AF32" s="482"/>
      <c r="AG32" s="482"/>
      <c r="AH32" s="483">
        <f>AH20/2</f>
        <v>900000</v>
      </c>
      <c r="AI32" s="19"/>
    </row>
    <row r="33" spans="1:35" ht="15" customHeight="1" thickTop="1" thickBot="1" x14ac:dyDescent="0.6">
      <c r="A33" s="810" t="s">
        <v>338</v>
      </c>
      <c r="B33" s="811"/>
      <c r="C33" s="811"/>
      <c r="D33" s="812"/>
      <c r="E33" s="825" t="s">
        <v>350</v>
      </c>
      <c r="F33" s="826"/>
      <c r="G33" s="826"/>
      <c r="H33" s="826"/>
      <c r="I33" s="826"/>
      <c r="J33" s="826"/>
      <c r="K33" s="827"/>
      <c r="L33" s="825" t="s">
        <v>356</v>
      </c>
      <c r="M33" s="826"/>
      <c r="N33" s="826"/>
      <c r="O33" s="826"/>
      <c r="P33" s="826"/>
      <c r="Q33" s="826"/>
      <c r="R33" s="827"/>
      <c r="S33" s="399"/>
      <c r="T33" s="384"/>
      <c r="U33" s="395"/>
      <c r="V33" s="396"/>
      <c r="W33" s="396"/>
      <c r="X33" s="396"/>
      <c r="Y33" s="396"/>
      <c r="Z33" s="396"/>
      <c r="AA33" s="396"/>
      <c r="AB33" s="396"/>
      <c r="AC33" s="396"/>
      <c r="AD33" s="396"/>
      <c r="AE33" s="396"/>
      <c r="AF33" s="396"/>
      <c r="AG33" s="396"/>
      <c r="AH33" s="397"/>
      <c r="AI33" s="50"/>
    </row>
    <row r="34" spans="1:35" ht="15" thickTop="1" thickBot="1" x14ac:dyDescent="0.6">
      <c r="A34" s="409">
        <v>1</v>
      </c>
      <c r="B34" s="410">
        <v>2027</v>
      </c>
      <c r="C34" s="439">
        <f>($I$37+$I$35+$K$37)*0.005</f>
        <v>236051.904891535</v>
      </c>
      <c r="D34" s="427">
        <f t="shared" ref="D34:D53" si="3">C34/(1+$B$18)^(B34-$D$18)</f>
        <v>147001.26284256947</v>
      </c>
      <c r="E34" s="490" t="s">
        <v>115</v>
      </c>
      <c r="F34" s="491" t="s">
        <v>122</v>
      </c>
      <c r="G34" s="492" t="s">
        <v>3</v>
      </c>
      <c r="H34" s="492" t="s">
        <v>348</v>
      </c>
      <c r="I34" s="492" t="s">
        <v>341</v>
      </c>
      <c r="J34" s="492" t="s">
        <v>342</v>
      </c>
      <c r="K34" s="507" t="s">
        <v>343</v>
      </c>
      <c r="L34" s="490" t="s">
        <v>115</v>
      </c>
      <c r="M34" s="491" t="s">
        <v>122</v>
      </c>
      <c r="N34" s="492" t="s">
        <v>3</v>
      </c>
      <c r="O34" s="492" t="s">
        <v>348</v>
      </c>
      <c r="P34" s="492" t="s">
        <v>341</v>
      </c>
      <c r="Q34" s="492" t="s">
        <v>342</v>
      </c>
      <c r="R34" s="507" t="s">
        <v>343</v>
      </c>
      <c r="S34" s="398"/>
      <c r="T34" s="832" t="s">
        <v>245</v>
      </c>
      <c r="U34" s="238" t="s">
        <v>115</v>
      </c>
      <c r="V34" s="326" t="s">
        <v>119</v>
      </c>
      <c r="W34" s="239" t="s">
        <v>194</v>
      </c>
      <c r="X34" s="239" t="s">
        <v>331</v>
      </c>
      <c r="Y34" s="240" t="s">
        <v>119</v>
      </c>
      <c r="Z34" s="240" t="s">
        <v>119</v>
      </c>
      <c r="AA34" s="240" t="s">
        <v>122</v>
      </c>
      <c r="AB34" s="241" t="s">
        <v>121</v>
      </c>
      <c r="AC34" s="241" t="s">
        <v>115</v>
      </c>
      <c r="AD34" s="240" t="s">
        <v>119</v>
      </c>
      <c r="AE34" s="240" t="s">
        <v>122</v>
      </c>
      <c r="AF34" s="240" t="s">
        <v>119</v>
      </c>
      <c r="AG34" s="334"/>
      <c r="AH34" s="242" t="s">
        <v>119</v>
      </c>
    </row>
    <row r="35" spans="1:35" ht="15" thickTop="1" thickBot="1" x14ac:dyDescent="0.6">
      <c r="A35" s="406">
        <f t="shared" ref="A35:A51" si="4">A34+1</f>
        <v>2</v>
      </c>
      <c r="B35" s="407">
        <v>2028</v>
      </c>
      <c r="C35" s="437">
        <f t="shared" ref="C35:C53" si="5">($I$37+$I$35+$K$37)*0.005</f>
        <v>236051.904891535</v>
      </c>
      <c r="D35" s="428">
        <f t="shared" si="3"/>
        <v>137384.35779679389</v>
      </c>
      <c r="E35" s="487">
        <f t="shared" ref="E35:R35" si="6">SUM(E22:E24)</f>
        <v>296433.87439876085</v>
      </c>
      <c r="F35" s="488">
        <f t="shared" si="6"/>
        <v>98811.291466253635</v>
      </c>
      <c r="G35" s="488">
        <f t="shared" si="6"/>
        <v>0</v>
      </c>
      <c r="H35" s="488">
        <f t="shared" si="6"/>
        <v>0</v>
      </c>
      <c r="I35" s="488">
        <f t="shared" si="6"/>
        <v>0</v>
      </c>
      <c r="J35" s="488">
        <f t="shared" si="6"/>
        <v>0</v>
      </c>
      <c r="K35" s="489">
        <f t="shared" si="6"/>
        <v>0</v>
      </c>
      <c r="L35" s="487">
        <f t="shared" si="6"/>
        <v>308107.5</v>
      </c>
      <c r="M35" s="488">
        <f t="shared" si="6"/>
        <v>102702.5</v>
      </c>
      <c r="N35" s="488">
        <f t="shared" si="6"/>
        <v>0</v>
      </c>
      <c r="O35" s="488">
        <f t="shared" si="6"/>
        <v>0</v>
      </c>
      <c r="P35" s="488">
        <f t="shared" si="6"/>
        <v>0</v>
      </c>
      <c r="Q35" s="488">
        <f t="shared" si="6"/>
        <v>0</v>
      </c>
      <c r="R35" s="489">
        <f t="shared" si="6"/>
        <v>0</v>
      </c>
      <c r="S35" s="398"/>
      <c r="T35" s="833"/>
      <c r="U35" s="243" t="s">
        <v>116</v>
      </c>
      <c r="V35" s="327" t="s">
        <v>120</v>
      </c>
      <c r="W35" s="244" t="s">
        <v>155</v>
      </c>
      <c r="X35" s="244" t="s">
        <v>120</v>
      </c>
      <c r="Y35" s="245" t="s">
        <v>120</v>
      </c>
      <c r="Z35" s="245" t="s">
        <v>120</v>
      </c>
      <c r="AA35" s="245" t="s">
        <v>116</v>
      </c>
      <c r="AB35" s="246" t="s">
        <v>155</v>
      </c>
      <c r="AC35" s="246" t="s">
        <v>116</v>
      </c>
      <c r="AD35" s="245" t="s">
        <v>120</v>
      </c>
      <c r="AE35" s="245" t="s">
        <v>155</v>
      </c>
      <c r="AF35" s="245" t="s">
        <v>120</v>
      </c>
      <c r="AG35" s="335"/>
      <c r="AH35" s="247" t="s">
        <v>155</v>
      </c>
    </row>
    <row r="36" spans="1:35" ht="15" thickTop="1" thickBot="1" x14ac:dyDescent="0.6">
      <c r="A36" s="406">
        <f t="shared" si="4"/>
        <v>3</v>
      </c>
      <c r="B36" s="407">
        <v>2029</v>
      </c>
      <c r="C36" s="437">
        <f t="shared" si="5"/>
        <v>236051.904891535</v>
      </c>
      <c r="D36" s="428">
        <f t="shared" si="3"/>
        <v>128396.59607176999</v>
      </c>
      <c r="E36" s="828" t="s">
        <v>357</v>
      </c>
      <c r="F36" s="829"/>
      <c r="G36" s="830"/>
      <c r="H36" s="830"/>
      <c r="I36" s="830"/>
      <c r="J36" s="830"/>
      <c r="K36" s="831"/>
      <c r="L36" s="828" t="s">
        <v>349</v>
      </c>
      <c r="M36" s="829"/>
      <c r="N36" s="830"/>
      <c r="O36" s="830"/>
      <c r="P36" s="830"/>
      <c r="Q36" s="830"/>
      <c r="R36" s="831"/>
      <c r="S36" s="398"/>
      <c r="T36" s="125"/>
      <c r="U36" s="805" t="s">
        <v>123</v>
      </c>
      <c r="V36" s="806"/>
      <c r="W36" s="806"/>
      <c r="X36" s="806"/>
      <c r="Y36" s="806"/>
      <c r="Z36" s="806"/>
      <c r="AA36" s="806"/>
      <c r="AB36" s="806"/>
      <c r="AC36" s="806"/>
      <c r="AD36" s="806"/>
      <c r="AE36" s="806"/>
      <c r="AF36" s="806"/>
      <c r="AG36" s="806"/>
      <c r="AH36" s="807"/>
    </row>
    <row r="37" spans="1:35" ht="15" thickTop="1" thickBot="1" x14ac:dyDescent="0.6">
      <c r="A37" s="406">
        <f t="shared" si="4"/>
        <v>4</v>
      </c>
      <c r="B37" s="407">
        <v>2030</v>
      </c>
      <c r="C37" s="437">
        <f t="shared" si="5"/>
        <v>236051.904891535</v>
      </c>
      <c r="D37" s="428">
        <f t="shared" si="3"/>
        <v>119996.81875866355</v>
      </c>
      <c r="E37" s="487">
        <f t="shared" ref="E37:K37" si="7">SUM(E26:E32)</f>
        <v>317113.24212834612</v>
      </c>
      <c r="F37" s="488">
        <f t="shared" si="7"/>
        <v>6025151.6004385762</v>
      </c>
      <c r="G37" s="488">
        <f t="shared" si="7"/>
        <v>835370.2571920401</v>
      </c>
      <c r="H37" s="488">
        <f t="shared" si="7"/>
        <v>0</v>
      </c>
      <c r="I37" s="488">
        <f t="shared" si="7"/>
        <v>41964783.091828443</v>
      </c>
      <c r="J37" s="488">
        <f t="shared" si="7"/>
        <v>5245597.8864785554</v>
      </c>
      <c r="K37" s="489">
        <f t="shared" si="7"/>
        <v>5245597.8864785554</v>
      </c>
      <c r="L37" s="487">
        <f t="shared" ref="L37:R37" si="8">SUM(L26:L32)</f>
        <v>395381.5</v>
      </c>
      <c r="M37" s="488">
        <f t="shared" si="8"/>
        <v>7512248.5</v>
      </c>
      <c r="N37" s="488">
        <f t="shared" si="8"/>
        <v>1095000</v>
      </c>
      <c r="O37" s="488">
        <f t="shared" si="8"/>
        <v>0</v>
      </c>
      <c r="P37" s="488">
        <f t="shared" si="8"/>
        <v>59315720</v>
      </c>
      <c r="Q37" s="488">
        <f t="shared" si="8"/>
        <v>7414465.0000000009</v>
      </c>
      <c r="R37" s="489">
        <f t="shared" si="8"/>
        <v>7414465.0000000009</v>
      </c>
      <c r="S37" s="398"/>
      <c r="T37" s="125" t="s">
        <v>165</v>
      </c>
      <c r="U37" s="248" t="s">
        <v>158</v>
      </c>
      <c r="V37" s="328" t="s">
        <v>158</v>
      </c>
      <c r="W37" s="112">
        <v>2022</v>
      </c>
      <c r="X37" s="112" t="s">
        <v>154</v>
      </c>
      <c r="Y37" s="89" t="s">
        <v>154</v>
      </c>
      <c r="Z37" s="112" t="s">
        <v>154</v>
      </c>
      <c r="AA37" s="89" t="s">
        <v>154</v>
      </c>
      <c r="AB37" s="89">
        <v>2021</v>
      </c>
      <c r="AC37" s="89" t="s">
        <v>154</v>
      </c>
      <c r="AD37" s="89" t="s">
        <v>154</v>
      </c>
      <c r="AE37" s="89"/>
      <c r="AF37" s="89" t="s">
        <v>154</v>
      </c>
      <c r="AG37" s="336" t="s">
        <v>154</v>
      </c>
      <c r="AH37" s="91"/>
    </row>
    <row r="38" spans="1:35" ht="14.7" thickTop="1" x14ac:dyDescent="0.55000000000000004">
      <c r="A38" s="406">
        <f t="shared" si="4"/>
        <v>5</v>
      </c>
      <c r="B38" s="407">
        <v>2031</v>
      </c>
      <c r="C38" s="437">
        <f t="shared" si="5"/>
        <v>236051.904891535</v>
      </c>
      <c r="D38" s="428">
        <f t="shared" si="3"/>
        <v>112146.55958753602</v>
      </c>
      <c r="E38" s="468"/>
      <c r="F38" s="469"/>
      <c r="G38" s="469"/>
      <c r="H38" s="469"/>
      <c r="I38" s="469"/>
      <c r="J38" s="469"/>
      <c r="K38" s="469"/>
      <c r="L38" s="469"/>
      <c r="M38" s="469"/>
      <c r="N38" s="469"/>
      <c r="O38" s="469"/>
      <c r="P38" s="469"/>
      <c r="Q38" s="469"/>
      <c r="R38" s="469"/>
      <c r="S38" s="398"/>
      <c r="T38" s="125" t="s">
        <v>115</v>
      </c>
      <c r="U38" s="249">
        <v>2023</v>
      </c>
      <c r="V38" s="329">
        <v>2023</v>
      </c>
      <c r="W38" s="89">
        <v>2022</v>
      </c>
      <c r="X38" s="89">
        <v>2023</v>
      </c>
      <c r="Y38" s="89">
        <v>2021</v>
      </c>
      <c r="Z38" s="89">
        <v>2023</v>
      </c>
      <c r="AA38" s="89">
        <v>2021</v>
      </c>
      <c r="AB38" s="89">
        <v>2021</v>
      </c>
      <c r="AC38" s="89">
        <v>2022</v>
      </c>
      <c r="AD38" s="89">
        <v>2022</v>
      </c>
      <c r="AE38" s="89">
        <v>2022</v>
      </c>
      <c r="AF38" s="89">
        <v>2023</v>
      </c>
      <c r="AG38" s="336">
        <v>2023</v>
      </c>
      <c r="AH38" s="91"/>
    </row>
    <row r="39" spans="1:35" x14ac:dyDescent="0.55000000000000004">
      <c r="A39" s="406">
        <f t="shared" si="4"/>
        <v>6</v>
      </c>
      <c r="B39" s="407">
        <v>2032</v>
      </c>
      <c r="C39" s="437">
        <f t="shared" si="5"/>
        <v>236051.904891535</v>
      </c>
      <c r="D39" s="428">
        <f t="shared" si="3"/>
        <v>104809.86877339816</v>
      </c>
      <c r="E39" s="468"/>
      <c r="F39" s="469"/>
      <c r="G39" s="469"/>
      <c r="H39" s="469"/>
      <c r="I39" s="469"/>
      <c r="J39" s="469"/>
      <c r="K39" s="469"/>
      <c r="L39" s="469"/>
      <c r="M39" s="469"/>
      <c r="N39" s="469"/>
      <c r="O39" s="469"/>
      <c r="P39" s="469"/>
      <c r="Q39" s="469"/>
      <c r="R39" s="469"/>
      <c r="S39" s="398"/>
      <c r="T39" s="125" t="s">
        <v>122</v>
      </c>
      <c r="U39" s="249">
        <v>2023</v>
      </c>
      <c r="V39" s="329">
        <v>2023</v>
      </c>
      <c r="W39" s="89">
        <v>2023</v>
      </c>
      <c r="X39" s="89">
        <v>2024</v>
      </c>
      <c r="Y39" s="89">
        <v>2023</v>
      </c>
      <c r="Z39" s="89">
        <v>2024</v>
      </c>
      <c r="AA39" s="89">
        <v>2023</v>
      </c>
      <c r="AB39" s="89">
        <v>2021</v>
      </c>
      <c r="AC39" s="89">
        <v>2023</v>
      </c>
      <c r="AD39" s="89">
        <v>2023</v>
      </c>
      <c r="AE39" s="89">
        <v>2023</v>
      </c>
      <c r="AF39" s="89">
        <v>2023</v>
      </c>
      <c r="AG39" s="336">
        <v>2023</v>
      </c>
      <c r="AH39" s="91">
        <v>2023</v>
      </c>
    </row>
    <row r="40" spans="1:35" x14ac:dyDescent="0.55000000000000004">
      <c r="A40" s="406">
        <f t="shared" si="4"/>
        <v>7</v>
      </c>
      <c r="B40" s="407">
        <v>2033</v>
      </c>
      <c r="C40" s="437">
        <f t="shared" si="5"/>
        <v>236051.904891535</v>
      </c>
      <c r="D40" s="428">
        <f t="shared" si="3"/>
        <v>97953.148386353409</v>
      </c>
      <c r="E40" s="468"/>
      <c r="F40" s="469"/>
      <c r="G40" s="469"/>
      <c r="H40" s="469"/>
      <c r="I40" s="469"/>
      <c r="J40" s="469"/>
      <c r="K40" s="469"/>
      <c r="L40" s="469"/>
      <c r="M40" s="469"/>
      <c r="N40" s="469"/>
      <c r="O40" s="469"/>
      <c r="P40" s="469"/>
      <c r="Q40" s="469"/>
      <c r="R40" s="469"/>
      <c r="S40" s="398"/>
      <c r="T40" s="125" t="s">
        <v>224</v>
      </c>
      <c r="U40" s="249">
        <v>2024</v>
      </c>
      <c r="V40" s="329">
        <v>2024</v>
      </c>
      <c r="W40" s="89">
        <v>2023</v>
      </c>
      <c r="X40" s="89">
        <v>2024</v>
      </c>
      <c r="Y40" s="89">
        <v>2023</v>
      </c>
      <c r="Z40" s="89">
        <v>2024</v>
      </c>
      <c r="AA40" s="89">
        <v>2023</v>
      </c>
      <c r="AB40" s="89">
        <v>2021</v>
      </c>
      <c r="AC40" s="89">
        <v>2023</v>
      </c>
      <c r="AD40" s="89">
        <v>2024</v>
      </c>
      <c r="AE40" s="89">
        <v>2024</v>
      </c>
      <c r="AF40" s="89">
        <v>2024</v>
      </c>
      <c r="AG40" s="336">
        <v>2024</v>
      </c>
      <c r="AH40" s="91">
        <v>2024</v>
      </c>
    </row>
    <row r="41" spans="1:35" x14ac:dyDescent="0.55000000000000004">
      <c r="A41" s="406">
        <f t="shared" si="4"/>
        <v>8</v>
      </c>
      <c r="B41" s="407">
        <v>2034</v>
      </c>
      <c r="C41" s="437">
        <f t="shared" si="5"/>
        <v>236051.904891535</v>
      </c>
      <c r="D41" s="428">
        <f t="shared" si="3"/>
        <v>91544.99849191909</v>
      </c>
      <c r="E41" s="468"/>
      <c r="F41" s="469"/>
      <c r="G41" s="469"/>
      <c r="H41" s="469"/>
      <c r="I41" s="469"/>
      <c r="J41" s="469"/>
      <c r="K41" s="469"/>
      <c r="L41" s="469"/>
      <c r="M41" s="469"/>
      <c r="N41" s="469"/>
      <c r="O41" s="469"/>
      <c r="P41" s="469"/>
      <c r="Q41" s="469"/>
      <c r="R41" s="469"/>
      <c r="S41" s="394"/>
      <c r="T41" s="125" t="s">
        <v>225</v>
      </c>
      <c r="U41" s="249">
        <v>2025</v>
      </c>
      <c r="V41" s="329">
        <v>2025</v>
      </c>
      <c r="W41" s="89">
        <v>2024</v>
      </c>
      <c r="X41" s="89">
        <v>2025</v>
      </c>
      <c r="Y41" s="89">
        <v>2024</v>
      </c>
      <c r="Z41" s="89">
        <v>2025</v>
      </c>
      <c r="AA41" s="89">
        <v>2025</v>
      </c>
      <c r="AB41" s="89">
        <v>2022</v>
      </c>
      <c r="AC41" s="89">
        <v>2024</v>
      </c>
      <c r="AD41" s="89">
        <v>2025</v>
      </c>
      <c r="AE41" s="89">
        <v>2025</v>
      </c>
      <c r="AF41" s="89">
        <v>2025</v>
      </c>
      <c r="AG41" s="336">
        <v>2025</v>
      </c>
      <c r="AH41" s="91">
        <v>2025</v>
      </c>
    </row>
    <row r="42" spans="1:35" ht="14.7" thickBot="1" x14ac:dyDescent="0.6">
      <c r="A42" s="406">
        <f t="shared" si="4"/>
        <v>9</v>
      </c>
      <c r="B42" s="407">
        <v>2035</v>
      </c>
      <c r="C42" s="437">
        <f t="shared" si="5"/>
        <v>236051.904891535</v>
      </c>
      <c r="D42" s="428">
        <f t="shared" si="3"/>
        <v>85556.073356933717</v>
      </c>
      <c r="E42" s="468"/>
      <c r="F42" s="469"/>
      <c r="G42" s="469"/>
      <c r="H42" s="469"/>
      <c r="I42" s="469"/>
      <c r="J42" s="469"/>
      <c r="K42" s="469"/>
      <c r="L42" s="469"/>
      <c r="M42" s="469"/>
      <c r="N42" s="469"/>
      <c r="O42" s="469"/>
      <c r="P42" s="469"/>
      <c r="Q42" s="469"/>
      <c r="R42" s="469"/>
      <c r="S42" s="394"/>
      <c r="T42" s="126" t="s">
        <v>107</v>
      </c>
      <c r="U42" s="250">
        <v>2026</v>
      </c>
      <c r="V42" s="330">
        <v>2026</v>
      </c>
      <c r="W42" s="90">
        <v>2026</v>
      </c>
      <c r="X42" s="90">
        <v>2026</v>
      </c>
      <c r="Y42" s="90">
        <v>2026</v>
      </c>
      <c r="Z42" s="90">
        <v>2026</v>
      </c>
      <c r="AA42" s="90">
        <v>2026</v>
      </c>
      <c r="AB42" s="90">
        <v>2022</v>
      </c>
      <c r="AC42" s="90">
        <v>2025</v>
      </c>
      <c r="AD42" s="90">
        <v>2026</v>
      </c>
      <c r="AE42" s="90">
        <v>2026</v>
      </c>
      <c r="AF42" s="90">
        <v>2026</v>
      </c>
      <c r="AG42" s="337">
        <v>2026</v>
      </c>
      <c r="AH42" s="92">
        <v>2026</v>
      </c>
    </row>
    <row r="43" spans="1:35" ht="14.7" thickTop="1" x14ac:dyDescent="0.55000000000000004">
      <c r="A43" s="406">
        <f t="shared" si="4"/>
        <v>10</v>
      </c>
      <c r="B43" s="407">
        <v>2036</v>
      </c>
      <c r="C43" s="437">
        <f t="shared" si="5"/>
        <v>236051.904891535</v>
      </c>
      <c r="D43" s="428">
        <f t="shared" si="3"/>
        <v>79958.947062554886</v>
      </c>
      <c r="E43" s="468"/>
      <c r="F43" s="469"/>
      <c r="G43" s="469"/>
      <c r="H43" s="469"/>
      <c r="I43" s="469"/>
      <c r="J43" s="469"/>
      <c r="K43" s="469"/>
      <c r="L43" s="469"/>
      <c r="M43" s="469"/>
      <c r="N43" s="469"/>
      <c r="O43" s="469"/>
      <c r="P43" s="469"/>
      <c r="Q43" s="469"/>
      <c r="R43" s="469"/>
      <c r="S43" s="117"/>
      <c r="T43" s="23"/>
      <c r="U43" s="72"/>
      <c r="V43" s="72"/>
      <c r="W43" s="50"/>
      <c r="X43" s="50"/>
      <c r="Y43" s="50"/>
      <c r="Z43" s="50"/>
    </row>
    <row r="44" spans="1:35" x14ac:dyDescent="0.55000000000000004">
      <c r="A44" s="406">
        <f t="shared" si="4"/>
        <v>11</v>
      </c>
      <c r="B44" s="407">
        <v>2037</v>
      </c>
      <c r="C44" s="437">
        <f t="shared" si="5"/>
        <v>236051.904891535</v>
      </c>
      <c r="D44" s="428">
        <f t="shared" si="3"/>
        <v>74727.98790892979</v>
      </c>
      <c r="E44" s="468"/>
      <c r="T44" s="23"/>
      <c r="U44" s="72"/>
      <c r="V44" s="72"/>
      <c r="W44" s="50"/>
      <c r="X44" s="50"/>
      <c r="Y44" s="50"/>
      <c r="Z44" s="50"/>
    </row>
    <row r="45" spans="1:35" x14ac:dyDescent="0.55000000000000004">
      <c r="A45" s="406">
        <f t="shared" si="4"/>
        <v>12</v>
      </c>
      <c r="B45" s="407">
        <v>2038</v>
      </c>
      <c r="C45" s="437">
        <f t="shared" si="5"/>
        <v>236051.904891535</v>
      </c>
      <c r="D45" s="428">
        <f t="shared" si="3"/>
        <v>69839.241036382984</v>
      </c>
      <c r="E45" s="468"/>
      <c r="F45" s="469"/>
      <c r="G45" s="469"/>
      <c r="H45" s="469"/>
      <c r="I45" s="469"/>
      <c r="J45" s="469"/>
      <c r="K45" s="469"/>
      <c r="L45" s="469"/>
      <c r="M45" s="469"/>
      <c r="N45" s="469"/>
      <c r="O45" s="469"/>
      <c r="P45" s="469"/>
      <c r="Q45" s="469"/>
      <c r="R45" s="469"/>
      <c r="S45" s="117"/>
      <c r="T45" s="23"/>
      <c r="U45" s="72"/>
      <c r="V45" s="72"/>
      <c r="W45" s="50"/>
      <c r="X45" s="50"/>
      <c r="Y45" s="50"/>
      <c r="Z45" s="50"/>
    </row>
    <row r="46" spans="1:35" x14ac:dyDescent="0.55000000000000004">
      <c r="A46" s="406">
        <f t="shared" si="4"/>
        <v>13</v>
      </c>
      <c r="B46" s="407">
        <v>2039</v>
      </c>
      <c r="C46" s="437">
        <f t="shared" si="5"/>
        <v>236051.904891535</v>
      </c>
      <c r="D46" s="428">
        <f t="shared" si="3"/>
        <v>65270.318725591569</v>
      </c>
      <c r="E46" s="468"/>
      <c r="F46" s="469"/>
      <c r="G46" s="469"/>
      <c r="H46" s="469"/>
      <c r="I46" s="469"/>
      <c r="J46" s="469"/>
      <c r="K46" s="469"/>
      <c r="L46" s="469"/>
      <c r="M46" s="469"/>
      <c r="N46" s="469"/>
      <c r="O46" s="469"/>
      <c r="P46" s="469"/>
      <c r="Q46" s="469"/>
      <c r="R46" s="469"/>
      <c r="S46" s="117"/>
      <c r="T46" s="23"/>
      <c r="U46"/>
      <c r="V46"/>
    </row>
    <row r="47" spans="1:35" x14ac:dyDescent="0.55000000000000004">
      <c r="A47" s="406">
        <f t="shared" si="4"/>
        <v>14</v>
      </c>
      <c r="B47" s="407">
        <v>2040</v>
      </c>
      <c r="C47" s="437">
        <f t="shared" si="5"/>
        <v>236051.904891535</v>
      </c>
      <c r="D47" s="428">
        <f t="shared" si="3"/>
        <v>61000.297874384647</v>
      </c>
      <c r="E47" s="468"/>
      <c r="F47" s="469"/>
      <c r="G47" s="469"/>
      <c r="H47" s="469"/>
      <c r="I47" s="469"/>
      <c r="J47" s="469"/>
      <c r="K47" s="469"/>
      <c r="L47" s="469"/>
      <c r="M47" s="469"/>
      <c r="N47" s="469"/>
      <c r="O47" s="469"/>
      <c r="P47" s="469"/>
      <c r="Q47" s="469"/>
      <c r="R47" s="469"/>
      <c r="S47" s="117"/>
      <c r="T47" s="23"/>
      <c r="U47"/>
    </row>
    <row r="48" spans="1:35" x14ac:dyDescent="0.55000000000000004">
      <c r="A48" s="406">
        <f t="shared" si="4"/>
        <v>15</v>
      </c>
      <c r="B48" s="407">
        <v>2041</v>
      </c>
      <c r="C48" s="437">
        <f t="shared" si="5"/>
        <v>236051.904891535</v>
      </c>
      <c r="D48" s="428">
        <f t="shared" si="3"/>
        <v>57009.624181667896</v>
      </c>
      <c r="E48" s="468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117"/>
      <c r="T48" s="23"/>
      <c r="U48"/>
    </row>
    <row r="49" spans="1:22" x14ac:dyDescent="0.55000000000000004">
      <c r="A49" s="406">
        <f t="shared" si="4"/>
        <v>16</v>
      </c>
      <c r="B49" s="407">
        <v>2042</v>
      </c>
      <c r="C49" s="437">
        <f t="shared" si="5"/>
        <v>236051.904891535</v>
      </c>
      <c r="D49" s="428">
        <f t="shared" si="3"/>
        <v>53280.022599689619</v>
      </c>
      <c r="E49" s="468"/>
      <c r="F49" s="469"/>
      <c r="G49" s="469"/>
      <c r="H49" s="469"/>
      <c r="I49" s="469"/>
      <c r="J49" s="469"/>
      <c r="K49" s="469"/>
      <c r="L49" s="469"/>
      <c r="M49" s="469"/>
      <c r="N49" s="469"/>
      <c r="O49" s="469"/>
      <c r="P49" s="469"/>
      <c r="Q49" s="469"/>
      <c r="R49" s="469"/>
      <c r="S49" s="117"/>
      <c r="T49" s="23"/>
      <c r="U49"/>
    </row>
    <row r="50" spans="1:22" x14ac:dyDescent="0.55000000000000004">
      <c r="A50" s="406">
        <f t="shared" si="4"/>
        <v>17</v>
      </c>
      <c r="B50" s="407">
        <v>2043</v>
      </c>
      <c r="C50" s="437">
        <f t="shared" si="5"/>
        <v>236051.904891535</v>
      </c>
      <c r="D50" s="428">
        <f t="shared" si="3"/>
        <v>49794.413644569737</v>
      </c>
      <c r="E50" s="468"/>
      <c r="F50" s="469"/>
      <c r="G50" s="469"/>
      <c r="H50" s="469"/>
      <c r="I50" s="469"/>
      <c r="J50" s="469"/>
      <c r="K50" s="469"/>
      <c r="L50" s="469"/>
      <c r="M50" s="469"/>
      <c r="N50" s="469"/>
      <c r="O50" s="469"/>
      <c r="P50" s="469"/>
      <c r="Q50" s="469"/>
      <c r="R50" s="469"/>
      <c r="S50" s="117"/>
      <c r="T50" s="23"/>
      <c r="U50"/>
    </row>
    <row r="51" spans="1:22" x14ac:dyDescent="0.55000000000000004">
      <c r="A51" s="406">
        <f t="shared" si="4"/>
        <v>18</v>
      </c>
      <c r="B51" s="407">
        <v>2044</v>
      </c>
      <c r="C51" s="437">
        <f t="shared" si="5"/>
        <v>236051.904891535</v>
      </c>
      <c r="D51" s="428">
        <f t="shared" si="3"/>
        <v>46536.835181840877</v>
      </c>
      <c r="E51" s="468"/>
      <c r="F51" s="469"/>
      <c r="G51" s="469"/>
      <c r="H51" s="469"/>
      <c r="I51" s="469"/>
      <c r="J51" s="469"/>
      <c r="K51" s="469"/>
      <c r="L51" s="469"/>
      <c r="M51" s="469"/>
      <c r="N51" s="469"/>
      <c r="O51" s="469"/>
      <c r="P51" s="469"/>
      <c r="Q51" s="469"/>
      <c r="R51" s="469"/>
      <c r="S51" s="392"/>
      <c r="T51" s="23"/>
      <c r="U51"/>
    </row>
    <row r="52" spans="1:22" x14ac:dyDescent="0.55000000000000004">
      <c r="A52" s="406">
        <f>A51+1</f>
        <v>19</v>
      </c>
      <c r="B52" s="407">
        <v>2045</v>
      </c>
      <c r="C52" s="437">
        <f t="shared" si="5"/>
        <v>236051.904891535</v>
      </c>
      <c r="D52" s="428">
        <f t="shared" si="3"/>
        <v>43492.369328823246</v>
      </c>
      <c r="E52" s="468"/>
      <c r="F52" s="469"/>
      <c r="G52" s="469"/>
      <c r="H52" s="469"/>
      <c r="I52" s="469"/>
      <c r="J52" s="469"/>
      <c r="K52" s="469"/>
      <c r="L52" s="469"/>
      <c r="M52" s="469"/>
      <c r="N52" s="469"/>
      <c r="O52" s="469"/>
      <c r="P52" s="469"/>
      <c r="Q52" s="469"/>
      <c r="R52" s="469"/>
      <c r="S52" s="392"/>
      <c r="T52" s="23"/>
      <c r="U52"/>
    </row>
    <row r="53" spans="1:22" ht="14.7" thickBot="1" x14ac:dyDescent="0.6">
      <c r="A53" s="414">
        <v>20</v>
      </c>
      <c r="B53" s="415">
        <v>2046</v>
      </c>
      <c r="C53" s="442">
        <f t="shared" si="5"/>
        <v>236051.904891535</v>
      </c>
      <c r="D53" s="429">
        <f t="shared" si="3"/>
        <v>40647.074139087148</v>
      </c>
      <c r="E53" s="468"/>
      <c r="F53" s="469"/>
      <c r="G53" s="469"/>
      <c r="H53" s="469"/>
      <c r="I53" s="469"/>
      <c r="J53" s="469"/>
      <c r="K53" s="469"/>
      <c r="L53" s="469"/>
      <c r="M53" s="469"/>
      <c r="N53" s="469"/>
      <c r="O53" s="469"/>
      <c r="P53" s="469"/>
      <c r="Q53" s="469"/>
      <c r="R53" s="469"/>
      <c r="S53" s="392"/>
      <c r="T53" s="23"/>
      <c r="U53"/>
    </row>
    <row r="54" spans="1:22" ht="18.899999999999999" thickTop="1" thickBot="1" x14ac:dyDescent="0.75">
      <c r="A54" s="841" t="s">
        <v>449</v>
      </c>
      <c r="B54" s="842"/>
      <c r="C54" s="842"/>
      <c r="D54" s="843"/>
      <c r="E54" s="469"/>
      <c r="F54" s="469"/>
      <c r="G54" s="469"/>
      <c r="H54" s="469"/>
      <c r="I54" s="469"/>
      <c r="J54" s="469"/>
      <c r="K54" s="469"/>
      <c r="L54" s="469"/>
      <c r="M54" s="469"/>
      <c r="N54" s="469"/>
      <c r="O54" s="469"/>
      <c r="P54" s="469"/>
      <c r="Q54" s="469"/>
      <c r="R54" s="469"/>
      <c r="S54" s="392"/>
      <c r="T54" s="23"/>
      <c r="U54"/>
    </row>
    <row r="55" spans="1:22" ht="15" thickTop="1" thickBot="1" x14ac:dyDescent="0.6">
      <c r="A55" s="834" t="s">
        <v>450</v>
      </c>
      <c r="B55" s="835"/>
      <c r="C55" s="514" t="s">
        <v>358</v>
      </c>
      <c r="D55" s="515" t="s">
        <v>76</v>
      </c>
      <c r="E55" s="469"/>
      <c r="F55" s="469"/>
      <c r="G55" s="469"/>
      <c r="H55" s="469"/>
      <c r="I55" s="469"/>
      <c r="J55" s="469"/>
      <c r="K55" s="469"/>
      <c r="L55" s="469"/>
      <c r="M55" s="469"/>
      <c r="N55" s="469"/>
      <c r="O55" s="469"/>
      <c r="P55" s="469"/>
      <c r="Q55" s="469"/>
      <c r="R55" s="469"/>
      <c r="S55" s="392"/>
      <c r="T55" s="23"/>
      <c r="U55"/>
    </row>
    <row r="56" spans="1:22" ht="14.7" thickTop="1" x14ac:dyDescent="0.55000000000000004">
      <c r="A56" s="846" t="s">
        <v>121</v>
      </c>
      <c r="B56" s="847"/>
      <c r="C56" s="501">
        <f>P35+SUM(Q35:R35)</f>
        <v>0</v>
      </c>
      <c r="D56" s="502">
        <f>I35+SUM(J35:K35)</f>
        <v>0</v>
      </c>
      <c r="E56" s="469"/>
      <c r="F56" s="469"/>
      <c r="G56" s="469"/>
      <c r="H56" s="469"/>
      <c r="I56" s="469"/>
      <c r="J56" s="469"/>
      <c r="K56" s="469"/>
      <c r="L56" s="469"/>
      <c r="M56" s="469"/>
      <c r="N56" s="469"/>
      <c r="O56" s="469"/>
      <c r="P56" s="469"/>
      <c r="Q56" s="469"/>
      <c r="R56" s="469"/>
      <c r="S56" s="392"/>
      <c r="T56" s="23"/>
      <c r="U56"/>
    </row>
    <row r="57" spans="1:22" x14ac:dyDescent="0.55000000000000004">
      <c r="A57" s="848" t="s">
        <v>30</v>
      </c>
      <c r="B57" s="849"/>
      <c r="C57" s="503">
        <f>N35</f>
        <v>0</v>
      </c>
      <c r="D57" s="504">
        <f>G35</f>
        <v>0</v>
      </c>
      <c r="E57" s="469"/>
      <c r="F57" s="469"/>
      <c r="G57" s="469"/>
      <c r="H57" s="469"/>
      <c r="I57" s="469"/>
      <c r="J57" s="469"/>
      <c r="K57" s="469"/>
      <c r="L57" s="469"/>
      <c r="M57" s="469"/>
      <c r="N57" s="469"/>
      <c r="O57" s="469"/>
      <c r="P57" s="469"/>
      <c r="Q57" s="469"/>
      <c r="R57" s="469"/>
      <c r="S57" s="392"/>
      <c r="T57" s="23"/>
      <c r="U57"/>
    </row>
    <row r="58" spans="1:22" x14ac:dyDescent="0.55000000000000004">
      <c r="A58" s="848" t="s">
        <v>346</v>
      </c>
      <c r="B58" s="849"/>
      <c r="C58" s="503">
        <f>O35</f>
        <v>0</v>
      </c>
      <c r="D58" s="504">
        <f>H35</f>
        <v>0</v>
      </c>
      <c r="E58" s="469"/>
      <c r="F58" s="469"/>
      <c r="G58" s="469"/>
      <c r="H58" s="469"/>
      <c r="I58" s="469"/>
      <c r="J58" s="469"/>
      <c r="K58" s="469"/>
      <c r="L58" s="469"/>
      <c r="M58" s="469"/>
      <c r="N58" s="469"/>
      <c r="O58" s="469"/>
      <c r="P58" s="469"/>
      <c r="Q58" s="469"/>
      <c r="R58" s="469"/>
      <c r="S58" s="392"/>
      <c r="T58" s="23"/>
      <c r="U58"/>
    </row>
    <row r="59" spans="1:22" x14ac:dyDescent="0.55000000000000004">
      <c r="A59" s="848" t="s">
        <v>122</v>
      </c>
      <c r="B59" s="849"/>
      <c r="C59" s="503">
        <f>M35</f>
        <v>102702.5</v>
      </c>
      <c r="D59" s="504">
        <f>F35</f>
        <v>98811.291466253635</v>
      </c>
      <c r="E59" s="469"/>
      <c r="F59" s="469"/>
      <c r="G59" s="469"/>
      <c r="H59" s="469"/>
      <c r="I59" s="469"/>
      <c r="J59" s="469"/>
      <c r="K59" s="469"/>
      <c r="L59" s="469"/>
      <c r="M59" s="469"/>
      <c r="N59" s="469"/>
      <c r="O59" s="469"/>
      <c r="P59" s="469"/>
      <c r="Q59" s="469"/>
      <c r="R59" s="469"/>
      <c r="S59" s="392"/>
      <c r="T59" s="23"/>
      <c r="U59"/>
    </row>
    <row r="60" spans="1:22" ht="14.7" thickBot="1" x14ac:dyDescent="0.6">
      <c r="A60" s="848" t="s">
        <v>115</v>
      </c>
      <c r="B60" s="849"/>
      <c r="C60" s="503">
        <f>L35</f>
        <v>308107.5</v>
      </c>
      <c r="D60" s="504">
        <f>E35</f>
        <v>296433.87439876085</v>
      </c>
      <c r="E60" s="469"/>
      <c r="F60" s="469"/>
      <c r="G60" s="469"/>
      <c r="H60" s="469"/>
      <c r="I60" s="469"/>
      <c r="J60" s="469"/>
      <c r="K60" s="469"/>
      <c r="L60" s="469"/>
      <c r="M60" s="469"/>
      <c r="N60" s="469"/>
      <c r="O60" s="469"/>
      <c r="P60" s="469"/>
      <c r="Q60" s="469"/>
      <c r="R60" s="469"/>
      <c r="S60" s="392"/>
      <c r="T60" s="23"/>
      <c r="U60"/>
    </row>
    <row r="61" spans="1:22" ht="15" thickTop="1" thickBot="1" x14ac:dyDescent="0.6">
      <c r="A61" s="844" t="s">
        <v>347</v>
      </c>
      <c r="B61" s="845"/>
      <c r="C61" s="505">
        <f>SUM(C56:C60)</f>
        <v>410810</v>
      </c>
      <c r="D61" s="506">
        <f>SUM(D56:D60)</f>
        <v>395245.16586501448</v>
      </c>
      <c r="E61" s="469"/>
      <c r="F61" s="469"/>
      <c r="G61" s="469"/>
      <c r="H61" s="469"/>
      <c r="I61" s="469"/>
      <c r="J61" s="469"/>
      <c r="K61" s="469"/>
      <c r="L61" s="469"/>
      <c r="M61" s="469"/>
      <c r="N61" s="469"/>
      <c r="O61" s="469"/>
      <c r="P61" s="469"/>
      <c r="Q61" s="469"/>
      <c r="R61" s="469"/>
      <c r="S61" s="392"/>
      <c r="T61" s="23"/>
      <c r="U61"/>
    </row>
    <row r="62" spans="1:22" ht="15" thickTop="1" thickBot="1" x14ac:dyDescent="0.6">
      <c r="A62" s="836" t="s">
        <v>451</v>
      </c>
      <c r="B62" s="837"/>
      <c r="C62" s="514" t="s">
        <v>358</v>
      </c>
      <c r="D62" s="515" t="s">
        <v>76</v>
      </c>
      <c r="E62" s="469"/>
      <c r="F62" s="469"/>
      <c r="G62" s="469"/>
      <c r="H62" s="469"/>
      <c r="I62" s="469"/>
      <c r="J62" s="469"/>
      <c r="K62" s="469"/>
      <c r="L62" s="469"/>
      <c r="M62" s="469"/>
      <c r="N62" s="469"/>
      <c r="O62" s="469"/>
      <c r="P62" s="469"/>
      <c r="Q62" s="469"/>
      <c r="R62" s="469"/>
      <c r="S62" s="392"/>
      <c r="T62" s="23"/>
      <c r="U62"/>
    </row>
    <row r="63" spans="1:22" s="404" customFormat="1" ht="14.7" thickTop="1" x14ac:dyDescent="0.55000000000000004">
      <c r="A63" s="446"/>
      <c r="B63" s="447" t="s">
        <v>121</v>
      </c>
      <c r="C63" s="501">
        <f>$P$37</f>
        <v>59315720</v>
      </c>
      <c r="D63" s="502">
        <f>$I$37</f>
        <v>41964783.091828443</v>
      </c>
      <c r="E63" s="430"/>
      <c r="F63" s="430"/>
      <c r="G63" s="430"/>
      <c r="H63" s="430"/>
      <c r="I63" s="430"/>
      <c r="J63" s="430"/>
      <c r="K63" s="430"/>
      <c r="L63" s="430"/>
      <c r="M63" s="430"/>
      <c r="N63" s="430"/>
      <c r="O63" s="430"/>
      <c r="P63" s="430"/>
      <c r="Q63" s="430"/>
      <c r="R63" s="430"/>
      <c r="S63" s="402"/>
      <c r="T63" s="403"/>
      <c r="V63" s="405"/>
    </row>
    <row r="64" spans="1:22" s="404" customFormat="1" x14ac:dyDescent="0.55000000000000004">
      <c r="A64" s="448"/>
      <c r="B64" s="120" t="s">
        <v>3</v>
      </c>
      <c r="C64" s="503">
        <f>$N$37</f>
        <v>1095000</v>
      </c>
      <c r="D64" s="504">
        <f>$G$37</f>
        <v>835370.2571920401</v>
      </c>
      <c r="E64" s="430"/>
      <c r="F64" s="430"/>
      <c r="G64" s="430"/>
      <c r="H64" s="430"/>
      <c r="I64" s="430"/>
      <c r="J64" s="430"/>
      <c r="K64" s="430"/>
      <c r="L64" s="430"/>
      <c r="M64" s="430"/>
      <c r="N64" s="430"/>
      <c r="O64" s="430"/>
      <c r="P64" s="430"/>
      <c r="Q64" s="430"/>
      <c r="R64" s="430"/>
      <c r="S64" s="402"/>
      <c r="T64" s="403"/>
      <c r="V64" s="405"/>
    </row>
    <row r="65" spans="1:22" s="404" customFormat="1" x14ac:dyDescent="0.55000000000000004">
      <c r="A65" s="448"/>
      <c r="B65" s="120" t="s">
        <v>346</v>
      </c>
      <c r="C65" s="503">
        <f>$O$37</f>
        <v>0</v>
      </c>
      <c r="D65" s="504">
        <f>$H$37</f>
        <v>0</v>
      </c>
      <c r="E65" s="430"/>
      <c r="F65" s="430"/>
      <c r="G65" s="430" t="s">
        <v>484</v>
      </c>
      <c r="H65" s="430"/>
      <c r="I65" s="430"/>
      <c r="J65" s="430"/>
      <c r="K65" s="430"/>
      <c r="L65" s="430"/>
      <c r="M65" s="430"/>
      <c r="N65" s="430"/>
      <c r="O65" s="430"/>
      <c r="P65" s="430"/>
      <c r="Q65" s="430"/>
      <c r="R65" s="430"/>
      <c r="S65" s="402"/>
      <c r="T65" s="403"/>
      <c r="V65" s="405"/>
    </row>
    <row r="66" spans="1:22" s="404" customFormat="1" x14ac:dyDescent="0.55000000000000004">
      <c r="A66" s="448"/>
      <c r="B66" s="120" t="s">
        <v>351</v>
      </c>
      <c r="C66" s="503">
        <f>$L$37+$M$37</f>
        <v>7907630</v>
      </c>
      <c r="D66" s="504">
        <f>$E$37+$F$37</f>
        <v>6342264.8425669223</v>
      </c>
      <c r="E66" s="430"/>
      <c r="F66" s="430"/>
      <c r="G66" s="430"/>
      <c r="H66" s="430"/>
      <c r="I66" s="430"/>
      <c r="J66" s="430"/>
      <c r="K66" s="430"/>
      <c r="L66" s="430"/>
      <c r="M66" s="430"/>
      <c r="N66" s="430"/>
      <c r="O66" s="430"/>
      <c r="P66" s="430"/>
      <c r="Q66" s="430"/>
      <c r="R66" s="430"/>
      <c r="S66" s="402"/>
      <c r="T66" s="403"/>
      <c r="V66" s="405"/>
    </row>
    <row r="67" spans="1:22" s="404" customFormat="1" x14ac:dyDescent="0.55000000000000004">
      <c r="A67" s="448"/>
      <c r="B67" s="120" t="s">
        <v>353</v>
      </c>
      <c r="C67" s="503">
        <f>$Q$37</f>
        <v>7414465.0000000009</v>
      </c>
      <c r="D67" s="504">
        <f>$J$37</f>
        <v>5245597.8864785554</v>
      </c>
      <c r="E67" s="430"/>
      <c r="F67" s="430"/>
      <c r="G67" s="430"/>
      <c r="H67" s="430"/>
      <c r="I67" s="430"/>
      <c r="J67" s="430"/>
      <c r="K67" s="430"/>
      <c r="L67" s="430"/>
      <c r="M67" s="430"/>
      <c r="N67" s="430"/>
      <c r="O67" s="430"/>
      <c r="P67" s="430"/>
      <c r="Q67" s="430"/>
      <c r="R67" s="430"/>
      <c r="S67" s="402"/>
      <c r="T67" s="403"/>
      <c r="V67" s="405"/>
    </row>
    <row r="68" spans="1:22" s="404" customFormat="1" x14ac:dyDescent="0.55000000000000004">
      <c r="A68" s="448"/>
      <c r="B68" s="120" t="s">
        <v>352</v>
      </c>
      <c r="C68" s="503">
        <f>$R$37</f>
        <v>7414465.0000000009</v>
      </c>
      <c r="D68" s="504">
        <f>$K$37</f>
        <v>5245597.8864785554</v>
      </c>
      <c r="E68" s="430"/>
      <c r="F68" s="430"/>
      <c r="G68" s="430"/>
      <c r="H68" s="430"/>
      <c r="I68" s="430"/>
      <c r="J68" s="430"/>
      <c r="K68" s="430"/>
      <c r="L68" s="430"/>
      <c r="M68" s="430"/>
      <c r="N68" s="430"/>
      <c r="O68" s="430"/>
      <c r="P68" s="430"/>
      <c r="Q68" s="430"/>
      <c r="R68" s="430"/>
      <c r="S68" s="402"/>
      <c r="T68" s="403"/>
      <c r="V68" s="405"/>
    </row>
    <row r="69" spans="1:22" s="404" customFormat="1" ht="14.7" thickBot="1" x14ac:dyDescent="0.6">
      <c r="A69" s="448"/>
      <c r="B69" s="495" t="s">
        <v>354</v>
      </c>
      <c r="C69" s="496">
        <f>SUM(C34:C53)</f>
        <v>4721038.0978307007</v>
      </c>
      <c r="D69" s="504">
        <f>SUM(D34:D53)</f>
        <v>1666346.8157494597</v>
      </c>
      <c r="E69" s="430"/>
      <c r="F69" s="430"/>
      <c r="G69" s="430"/>
      <c r="H69" s="430"/>
      <c r="I69" s="430"/>
      <c r="J69" s="430"/>
      <c r="K69" s="430"/>
      <c r="L69" s="430"/>
      <c r="M69" s="430"/>
      <c r="N69" s="430"/>
      <c r="O69" s="430"/>
      <c r="P69" s="430"/>
      <c r="Q69" s="430"/>
      <c r="R69" s="430"/>
      <c r="S69" s="402"/>
      <c r="T69" s="403"/>
      <c r="V69" s="405"/>
    </row>
    <row r="70" spans="1:22" s="404" customFormat="1" ht="15" thickTop="1" thickBot="1" x14ac:dyDescent="0.6">
      <c r="A70" s="493"/>
      <c r="B70" s="494" t="s">
        <v>355</v>
      </c>
      <c r="C70" s="505">
        <f>SUM(C63:C69)</f>
        <v>87868318.097830698</v>
      </c>
      <c r="D70" s="513">
        <f>SUM(D63:D69)</f>
        <v>61299960.780293979</v>
      </c>
      <c r="E70" s="430"/>
      <c r="F70" s="430"/>
      <c r="G70" s="430"/>
      <c r="H70" s="430"/>
      <c r="I70" s="430"/>
      <c r="J70" s="430"/>
      <c r="K70" s="430"/>
      <c r="L70" s="430"/>
      <c r="M70" s="430"/>
      <c r="N70" s="430"/>
      <c r="O70" s="430"/>
      <c r="P70" s="430"/>
      <c r="Q70" s="430"/>
      <c r="R70" s="430"/>
      <c r="S70" s="402"/>
      <c r="T70" s="403"/>
      <c r="V70" s="405"/>
    </row>
    <row r="71" spans="1:22" s="404" customFormat="1" ht="14.7" thickTop="1" x14ac:dyDescent="0.55000000000000004">
      <c r="A71" s="401"/>
      <c r="B71" s="401"/>
      <c r="C71" s="430"/>
      <c r="D71" s="430"/>
      <c r="E71" s="430"/>
      <c r="F71" s="430"/>
      <c r="G71" s="430"/>
      <c r="H71" s="430"/>
      <c r="I71" s="430"/>
      <c r="J71" s="430"/>
      <c r="K71" s="430"/>
      <c r="L71" s="430"/>
      <c r="M71" s="430"/>
      <c r="N71" s="430"/>
      <c r="O71" s="430"/>
      <c r="P71" s="430"/>
      <c r="Q71" s="430"/>
      <c r="R71" s="430"/>
      <c r="S71" s="402"/>
      <c r="T71" s="403"/>
      <c r="V71" s="405"/>
    </row>
    <row r="72" spans="1:22" hidden="1" x14ac:dyDescent="0.55000000000000004">
      <c r="B72" s="206" t="s">
        <v>359</v>
      </c>
      <c r="U72"/>
    </row>
    <row r="73" spans="1:22" hidden="1" x14ac:dyDescent="0.55000000000000004">
      <c r="A73" s="206" t="s">
        <v>361</v>
      </c>
      <c r="B73" s="418">
        <f>C61+C70-C69</f>
        <v>83558090</v>
      </c>
      <c r="C73" s="516" t="s">
        <v>360</v>
      </c>
    </row>
    <row r="74" spans="1:22" hidden="1" x14ac:dyDescent="0.55000000000000004">
      <c r="A74" s="206" t="s">
        <v>361</v>
      </c>
      <c r="B74" s="795">
        <f>'PROJECT SUMMARY'!B6</f>
        <v>83558090</v>
      </c>
      <c r="C74" s="516" t="s">
        <v>478</v>
      </c>
    </row>
    <row r="75" spans="1:22" hidden="1" x14ac:dyDescent="0.55000000000000004">
      <c r="A75" s="206" t="s">
        <v>362</v>
      </c>
      <c r="B75" s="418">
        <f>B73-B74</f>
        <v>0</v>
      </c>
    </row>
  </sheetData>
  <mergeCells count="26">
    <mergeCell ref="A55:B55"/>
    <mergeCell ref="A62:B62"/>
    <mergeCell ref="A10:C10"/>
    <mergeCell ref="E20:K20"/>
    <mergeCell ref="E33:K33"/>
    <mergeCell ref="E36:K36"/>
    <mergeCell ref="A54:D54"/>
    <mergeCell ref="A61:B61"/>
    <mergeCell ref="A56:B56"/>
    <mergeCell ref="A57:B57"/>
    <mergeCell ref="A58:B58"/>
    <mergeCell ref="A59:B59"/>
    <mergeCell ref="A60:B60"/>
    <mergeCell ref="U16:AH16"/>
    <mergeCell ref="U36:AH36"/>
    <mergeCell ref="C20:D20"/>
    <mergeCell ref="A33:D33"/>
    <mergeCell ref="A25:D25"/>
    <mergeCell ref="E25:K25"/>
    <mergeCell ref="A19:D19"/>
    <mergeCell ref="U21:AH21"/>
    <mergeCell ref="L20:R20"/>
    <mergeCell ref="L25:R25"/>
    <mergeCell ref="L33:R33"/>
    <mergeCell ref="L36:R36"/>
    <mergeCell ref="T34:T3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6628C-EB89-4364-80CD-926E5EE9A951}">
  <sheetPr>
    <tabColor rgb="FF92D050"/>
    <pageSetUpPr fitToPage="1"/>
  </sheetPr>
  <dimension ref="A1:P36"/>
  <sheetViews>
    <sheetView showGridLines="0" workbookViewId="0">
      <selection activeCell="A39" sqref="A39"/>
    </sheetView>
  </sheetViews>
  <sheetFormatPr defaultRowHeight="14.4" x14ac:dyDescent="0.55000000000000004"/>
  <cols>
    <col min="1" max="1" width="34" style="52" customWidth="1"/>
    <col min="2" max="2" width="14.26171875" style="67" customWidth="1"/>
    <col min="3" max="4" width="22.15625" style="66" customWidth="1"/>
    <col min="5" max="6" width="22.15625" style="65" customWidth="1"/>
    <col min="7" max="9" width="22.15625" style="66" customWidth="1"/>
    <col min="10" max="11" width="22.15625" style="65" customWidth="1"/>
    <col min="12" max="16" width="22.15625" style="66" customWidth="1"/>
  </cols>
  <sheetData>
    <row r="1" spans="1:16" ht="29.4" thickTop="1" thickBot="1" x14ac:dyDescent="0.6">
      <c r="A1" s="114"/>
      <c r="B1" s="113"/>
      <c r="C1" s="213" t="s">
        <v>100</v>
      </c>
      <c r="D1" s="338" t="s">
        <v>286</v>
      </c>
      <c r="E1" s="214" t="s">
        <v>136</v>
      </c>
      <c r="F1" s="673" t="s">
        <v>195</v>
      </c>
      <c r="G1" s="214" t="s">
        <v>101</v>
      </c>
      <c r="H1" s="214" t="s">
        <v>292</v>
      </c>
      <c r="I1" s="214" t="s">
        <v>137</v>
      </c>
      <c r="J1" s="214" t="s">
        <v>102</v>
      </c>
      <c r="K1" s="214" t="s">
        <v>110</v>
      </c>
      <c r="L1" s="214" t="s">
        <v>103</v>
      </c>
      <c r="M1" s="214" t="s">
        <v>295</v>
      </c>
      <c r="N1" s="214" t="s">
        <v>294</v>
      </c>
      <c r="O1" s="345" t="s">
        <v>293</v>
      </c>
      <c r="P1" s="215" t="s">
        <v>196</v>
      </c>
    </row>
    <row r="2" spans="1:16" ht="15" thickTop="1" thickBot="1" x14ac:dyDescent="0.6">
      <c r="A2" s="73" t="s">
        <v>163</v>
      </c>
      <c r="B2" s="127" t="s">
        <v>161</v>
      </c>
      <c r="C2" s="216" t="s">
        <v>135</v>
      </c>
      <c r="D2" s="344">
        <v>68</v>
      </c>
      <c r="E2" s="217" t="s">
        <v>111</v>
      </c>
      <c r="F2" s="217" t="s">
        <v>111</v>
      </c>
      <c r="G2" s="218">
        <v>68</v>
      </c>
      <c r="H2" s="218">
        <v>68</v>
      </c>
      <c r="I2" s="218">
        <v>68</v>
      </c>
      <c r="J2" s="217" t="s">
        <v>111</v>
      </c>
      <c r="K2" s="217" t="s">
        <v>183</v>
      </c>
      <c r="L2" s="217" t="s">
        <v>184</v>
      </c>
      <c r="M2" s="218">
        <v>23</v>
      </c>
      <c r="N2" s="217" t="s">
        <v>106</v>
      </c>
      <c r="O2" s="351">
        <v>68</v>
      </c>
      <c r="P2" s="219">
        <v>68</v>
      </c>
    </row>
    <row r="3" spans="1:16" ht="14.7" thickTop="1" x14ac:dyDescent="0.55000000000000004">
      <c r="A3" s="138" t="s">
        <v>112</v>
      </c>
      <c r="B3" s="124">
        <f>SUM(C3:P3)</f>
        <v>9</v>
      </c>
      <c r="C3" s="220">
        <v>2.4</v>
      </c>
      <c r="D3" s="339"/>
      <c r="E3" s="221">
        <v>0.5</v>
      </c>
      <c r="F3" s="223"/>
      <c r="G3" s="222">
        <v>2</v>
      </c>
      <c r="H3" s="222">
        <v>0.2</v>
      </c>
      <c r="I3" s="222">
        <v>0.8</v>
      </c>
      <c r="J3" s="223">
        <v>0.5</v>
      </c>
      <c r="K3" s="223">
        <v>0.9</v>
      </c>
      <c r="L3" s="222">
        <v>1</v>
      </c>
      <c r="M3" s="222"/>
      <c r="N3" s="222">
        <v>0.1</v>
      </c>
      <c r="O3" s="346">
        <v>0.4</v>
      </c>
      <c r="P3" s="224">
        <v>0.2</v>
      </c>
    </row>
    <row r="4" spans="1:16" ht="14.7" thickBot="1" x14ac:dyDescent="0.6">
      <c r="A4" s="139" t="s">
        <v>113</v>
      </c>
      <c r="B4" s="116">
        <f>SUM(C4:P4)</f>
        <v>47520</v>
      </c>
      <c r="C4" s="225">
        <f>C3*5280</f>
        <v>12672</v>
      </c>
      <c r="D4" s="340"/>
      <c r="E4" s="226">
        <f t="shared" ref="E4:P4" si="0">E3*5280</f>
        <v>2640</v>
      </c>
      <c r="F4" s="671">
        <f t="shared" si="0"/>
        <v>0</v>
      </c>
      <c r="G4" s="226">
        <f t="shared" si="0"/>
        <v>10560</v>
      </c>
      <c r="H4" s="226">
        <f t="shared" si="0"/>
        <v>1056</v>
      </c>
      <c r="I4" s="226">
        <f t="shared" si="0"/>
        <v>4224</v>
      </c>
      <c r="J4" s="226">
        <f t="shared" si="0"/>
        <v>2640</v>
      </c>
      <c r="K4" s="226">
        <f t="shared" si="0"/>
        <v>4752</v>
      </c>
      <c r="L4" s="226">
        <f t="shared" si="0"/>
        <v>5280</v>
      </c>
      <c r="M4" s="226">
        <f t="shared" si="0"/>
        <v>0</v>
      </c>
      <c r="N4" s="226">
        <f t="shared" si="0"/>
        <v>528</v>
      </c>
      <c r="O4" s="226">
        <f t="shared" si="0"/>
        <v>2112</v>
      </c>
      <c r="P4" s="227">
        <f t="shared" si="0"/>
        <v>1056</v>
      </c>
    </row>
    <row r="5" spans="1:16" s="10" customFormat="1" ht="15" thickTop="1" thickBot="1" x14ac:dyDescent="0.6">
      <c r="A5" s="151"/>
      <c r="B5" s="152" t="s">
        <v>149</v>
      </c>
      <c r="C5" s="850" t="s">
        <v>164</v>
      </c>
      <c r="D5" s="851"/>
      <c r="E5" s="851"/>
      <c r="F5" s="851"/>
      <c r="G5" s="851"/>
      <c r="H5" s="851"/>
      <c r="I5" s="851"/>
      <c r="J5" s="851"/>
      <c r="K5" s="851"/>
      <c r="L5" s="851"/>
      <c r="M5" s="851"/>
      <c r="N5" s="851"/>
      <c r="O5" s="851"/>
      <c r="P5" s="852"/>
    </row>
    <row r="6" spans="1:16" s="10" customFormat="1" ht="15" thickTop="1" thickBot="1" x14ac:dyDescent="0.6">
      <c r="A6" s="73" t="s">
        <v>108</v>
      </c>
      <c r="B6" s="130">
        <f t="shared" ref="B6:B16" si="1">SUM(C6:P6)</f>
        <v>83558090</v>
      </c>
      <c r="C6" s="133">
        <f t="shared" ref="C6:P6" si="2">SUM(C7:C9)</f>
        <v>4940270</v>
      </c>
      <c r="D6" s="134">
        <f t="shared" ref="D6" si="3">SUM(D7:D9)</f>
        <v>1350000</v>
      </c>
      <c r="E6" s="134">
        <f t="shared" si="2"/>
        <v>19000000</v>
      </c>
      <c r="F6" s="674">
        <f t="shared" si="2"/>
        <v>10000000</v>
      </c>
      <c r="G6" s="149">
        <f t="shared" si="2"/>
        <v>6100000</v>
      </c>
      <c r="H6" s="149">
        <f t="shared" ref="H6" si="4">SUM(H7:H9)</f>
        <v>500000</v>
      </c>
      <c r="I6" s="149">
        <f t="shared" si="2"/>
        <v>5009820</v>
      </c>
      <c r="J6" s="149">
        <f t="shared" si="2"/>
        <v>4670000</v>
      </c>
      <c r="K6" s="149">
        <f t="shared" si="2"/>
        <v>2738000</v>
      </c>
      <c r="L6" s="149">
        <f t="shared" si="2"/>
        <v>19500000</v>
      </c>
      <c r="M6" s="149">
        <f t="shared" si="2"/>
        <v>6000000</v>
      </c>
      <c r="N6" s="149">
        <f t="shared" si="2"/>
        <v>250000</v>
      </c>
      <c r="O6" s="149">
        <f t="shared" si="2"/>
        <v>1500000</v>
      </c>
      <c r="P6" s="150">
        <f t="shared" si="2"/>
        <v>2000000</v>
      </c>
    </row>
    <row r="7" spans="1:16" s="144" customFormat="1" ht="14.7" thickTop="1" x14ac:dyDescent="0.55000000000000004">
      <c r="A7" s="128" t="s">
        <v>351</v>
      </c>
      <c r="B7" s="140">
        <f t="shared" si="1"/>
        <v>8318440</v>
      </c>
      <c r="C7" s="141">
        <v>490270</v>
      </c>
      <c r="D7" s="211">
        <v>600000</v>
      </c>
      <c r="E7" s="211">
        <f>19000000*0.1</f>
        <v>1900000</v>
      </c>
      <c r="F7" s="211">
        <v>800000</v>
      </c>
      <c r="G7" s="142">
        <v>300000</v>
      </c>
      <c r="H7" s="142">
        <v>75000</v>
      </c>
      <c r="I7" s="142">
        <v>722470</v>
      </c>
      <c r="J7" s="142">
        <v>120000</v>
      </c>
      <c r="K7" s="142">
        <v>410700</v>
      </c>
      <c r="L7" s="142">
        <f>1900000</f>
        <v>1900000</v>
      </c>
      <c r="M7" s="142">
        <v>600000</v>
      </c>
      <c r="N7" s="142">
        <v>50000</v>
      </c>
      <c r="O7" s="347">
        <v>150000</v>
      </c>
      <c r="P7" s="143">
        <v>200000</v>
      </c>
    </row>
    <row r="8" spans="1:16" s="144" customFormat="1" x14ac:dyDescent="0.55000000000000004">
      <c r="A8" s="128" t="s">
        <v>481</v>
      </c>
      <c r="B8" s="140">
        <f t="shared" si="1"/>
        <v>1095000</v>
      </c>
      <c r="C8" s="141">
        <v>450000</v>
      </c>
      <c r="D8" s="211"/>
      <c r="E8" s="211"/>
      <c r="F8" s="211">
        <v>50000</v>
      </c>
      <c r="G8" s="142"/>
      <c r="H8" s="142"/>
      <c r="I8" s="142"/>
      <c r="J8" s="142"/>
      <c r="K8" s="142"/>
      <c r="L8" s="142">
        <v>595000</v>
      </c>
      <c r="M8" s="142"/>
      <c r="N8" s="142">
        <v>0</v>
      </c>
      <c r="O8" s="347"/>
      <c r="P8" s="143">
        <v>0</v>
      </c>
    </row>
    <row r="9" spans="1:16" s="144" customFormat="1" ht="14.7" thickBot="1" x14ac:dyDescent="0.6">
      <c r="A9" s="128" t="s">
        <v>483</v>
      </c>
      <c r="B9" s="140">
        <f t="shared" si="1"/>
        <v>74144650</v>
      </c>
      <c r="C9" s="141">
        <v>4000000</v>
      </c>
      <c r="D9" s="211">
        <v>750000</v>
      </c>
      <c r="E9" s="211">
        <v>17100000</v>
      </c>
      <c r="F9" s="211">
        <f>7200000+1950000</f>
        <v>9150000</v>
      </c>
      <c r="G9" s="142">
        <f>900000+4900000</f>
        <v>5800000</v>
      </c>
      <c r="H9" s="142">
        <v>425000</v>
      </c>
      <c r="I9" s="142">
        <f>3612350+500000+55000+120000</f>
        <v>4287350</v>
      </c>
      <c r="J9" s="142">
        <f>100000+500000+150000+120000+3800000-120000</f>
        <v>4550000</v>
      </c>
      <c r="K9" s="142">
        <v>2327300</v>
      </c>
      <c r="L9" s="142">
        <v>17005000</v>
      </c>
      <c r="M9" s="142">
        <v>5400000</v>
      </c>
      <c r="N9" s="142">
        <v>200000</v>
      </c>
      <c r="O9" s="347">
        <v>1350000</v>
      </c>
      <c r="P9" s="143">
        <v>1800000</v>
      </c>
    </row>
    <row r="10" spans="1:16" s="10" customFormat="1" ht="15" thickTop="1" thickBot="1" x14ac:dyDescent="0.6">
      <c r="A10" s="73" t="s">
        <v>156</v>
      </c>
      <c r="B10" s="130">
        <f t="shared" si="1"/>
        <v>43207770</v>
      </c>
      <c r="C10" s="133">
        <f>SUM(C11:C14)</f>
        <v>4940270</v>
      </c>
      <c r="D10" s="134">
        <f>SUM(D11:D14)</f>
        <v>0</v>
      </c>
      <c r="E10" s="134">
        <f>SUM(E11:E14)</f>
        <v>19000000</v>
      </c>
      <c r="F10" s="674">
        <f>SUM(F11:F14)</f>
        <v>0</v>
      </c>
      <c r="G10" s="134">
        <f t="shared" ref="G10:P10" si="5">SUM(G11:G14)</f>
        <v>4600000</v>
      </c>
      <c r="H10" s="134">
        <f t="shared" si="5"/>
        <v>0</v>
      </c>
      <c r="I10" s="134">
        <f t="shared" si="5"/>
        <v>0</v>
      </c>
      <c r="J10" s="134">
        <f t="shared" si="5"/>
        <v>4670000</v>
      </c>
      <c r="K10" s="134">
        <f>SUM(K11:K14)</f>
        <v>1997500</v>
      </c>
      <c r="L10" s="134">
        <f t="shared" si="5"/>
        <v>0</v>
      </c>
      <c r="M10" s="134">
        <f>SUM(M11:M14)</f>
        <v>6000000</v>
      </c>
      <c r="N10" s="134">
        <f t="shared" si="5"/>
        <v>0</v>
      </c>
      <c r="O10" s="134">
        <f t="shared" si="5"/>
        <v>0</v>
      </c>
      <c r="P10" s="135">
        <f t="shared" si="5"/>
        <v>2000000</v>
      </c>
    </row>
    <row r="11" spans="1:16" s="144" customFormat="1" ht="14.7" thickTop="1" x14ac:dyDescent="0.55000000000000004">
      <c r="A11" s="128" t="s">
        <v>157</v>
      </c>
      <c r="B11" s="140">
        <f t="shared" si="1"/>
        <v>4750216</v>
      </c>
      <c r="C11" s="228">
        <v>3952216</v>
      </c>
      <c r="D11" s="341"/>
      <c r="E11" s="229"/>
      <c r="F11" s="229"/>
      <c r="G11" s="229"/>
      <c r="H11" s="229"/>
      <c r="I11" s="229"/>
      <c r="J11" s="229"/>
      <c r="K11" s="229">
        <v>798000</v>
      </c>
      <c r="L11" s="229"/>
      <c r="M11" s="229"/>
      <c r="N11" s="229"/>
      <c r="O11" s="348"/>
      <c r="P11" s="230"/>
    </row>
    <row r="12" spans="1:16" s="148" customFormat="1" x14ac:dyDescent="0.55000000000000004">
      <c r="A12" s="129" t="s">
        <v>159</v>
      </c>
      <c r="B12" s="140">
        <f t="shared" si="1"/>
        <v>950000</v>
      </c>
      <c r="C12" s="145"/>
      <c r="D12" s="342"/>
      <c r="E12" s="146"/>
      <c r="F12" s="146"/>
      <c r="G12" s="146"/>
      <c r="H12" s="146"/>
      <c r="I12" s="146"/>
      <c r="J12" s="146"/>
      <c r="K12" s="231">
        <v>950000</v>
      </c>
      <c r="L12" s="146"/>
      <c r="M12" s="146"/>
      <c r="N12" s="146"/>
      <c r="O12" s="349"/>
      <c r="P12" s="147"/>
    </row>
    <row r="13" spans="1:16" s="148" customFormat="1" x14ac:dyDescent="0.55000000000000004">
      <c r="A13" s="129" t="s">
        <v>182</v>
      </c>
      <c r="B13" s="140">
        <f t="shared" si="1"/>
        <v>7720000</v>
      </c>
      <c r="C13" s="145"/>
      <c r="D13" s="342"/>
      <c r="E13" s="146"/>
      <c r="F13" s="146"/>
      <c r="G13" s="146">
        <v>4600000</v>
      </c>
      <c r="H13" s="146"/>
      <c r="I13" s="146"/>
      <c r="J13" s="146">
        <f>100000+400000+500000+120000</f>
        <v>1120000</v>
      </c>
      <c r="K13" s="231"/>
      <c r="L13" s="146"/>
      <c r="M13" s="146"/>
      <c r="N13" s="146"/>
      <c r="O13" s="349"/>
      <c r="P13" s="147">
        <v>2000000</v>
      </c>
    </row>
    <row r="14" spans="1:16" s="144" customFormat="1" ht="14.7" thickBot="1" x14ac:dyDescent="0.6">
      <c r="A14" s="128" t="s">
        <v>160</v>
      </c>
      <c r="B14" s="140">
        <f t="shared" si="1"/>
        <v>29787554</v>
      </c>
      <c r="C14" s="141">
        <v>988054</v>
      </c>
      <c r="D14" s="211"/>
      <c r="E14" s="142">
        <v>19000000</v>
      </c>
      <c r="F14" s="142"/>
      <c r="G14" s="142"/>
      <c r="H14" s="142"/>
      <c r="I14" s="142"/>
      <c r="J14" s="142">
        <f>3400000+150000</f>
        <v>3550000</v>
      </c>
      <c r="K14" s="142">
        <v>249500</v>
      </c>
      <c r="L14" s="142"/>
      <c r="M14" s="142">
        <v>6000000</v>
      </c>
      <c r="N14" s="142"/>
      <c r="O14" s="347"/>
      <c r="P14" s="143"/>
    </row>
    <row r="15" spans="1:16" s="144" customFormat="1" ht="14.7" thickBot="1" x14ac:dyDescent="0.6">
      <c r="A15" s="352" t="s">
        <v>452</v>
      </c>
      <c r="B15" s="353">
        <f t="shared" si="1"/>
        <v>410810</v>
      </c>
      <c r="C15" s="354">
        <v>190810</v>
      </c>
      <c r="D15" s="355"/>
      <c r="E15" s="356"/>
      <c r="F15" s="356"/>
      <c r="G15" s="356"/>
      <c r="H15" s="356"/>
      <c r="I15" s="356"/>
      <c r="J15" s="356">
        <v>120000</v>
      </c>
      <c r="K15" s="356">
        <v>100000</v>
      </c>
      <c r="L15" s="356"/>
      <c r="M15" s="356"/>
      <c r="N15" s="356"/>
      <c r="O15" s="357"/>
      <c r="P15" s="358"/>
    </row>
    <row r="16" spans="1:16" s="10" customFormat="1" ht="15" thickTop="1" thickBot="1" x14ac:dyDescent="0.6">
      <c r="A16" s="132" t="s">
        <v>117</v>
      </c>
      <c r="B16" s="131">
        <f t="shared" si="1"/>
        <v>40350320</v>
      </c>
      <c r="C16" s="136">
        <f t="shared" ref="C16:P16" si="6">C6-C10</f>
        <v>0</v>
      </c>
      <c r="D16" s="343">
        <f t="shared" si="6"/>
        <v>1350000</v>
      </c>
      <c r="E16" s="137">
        <f t="shared" si="6"/>
        <v>0</v>
      </c>
      <c r="F16" s="672">
        <f t="shared" si="6"/>
        <v>10000000</v>
      </c>
      <c r="G16" s="137">
        <f t="shared" si="6"/>
        <v>1500000</v>
      </c>
      <c r="H16" s="137">
        <f t="shared" si="6"/>
        <v>500000</v>
      </c>
      <c r="I16" s="137">
        <f t="shared" si="6"/>
        <v>5009820</v>
      </c>
      <c r="J16" s="137">
        <f t="shared" si="6"/>
        <v>0</v>
      </c>
      <c r="K16" s="137">
        <f t="shared" si="6"/>
        <v>740500</v>
      </c>
      <c r="L16" s="137">
        <f t="shared" si="6"/>
        <v>19500000</v>
      </c>
      <c r="M16" s="137">
        <f t="shared" si="6"/>
        <v>0</v>
      </c>
      <c r="N16" s="137">
        <f t="shared" si="6"/>
        <v>250000</v>
      </c>
      <c r="O16" s="137">
        <f t="shared" si="6"/>
        <v>1500000</v>
      </c>
      <c r="P16" s="137">
        <f t="shared" si="6"/>
        <v>0</v>
      </c>
    </row>
    <row r="17" spans="1:16" s="64" customFormat="1" ht="15" thickTop="1" thickBot="1" x14ac:dyDescent="0.6">
      <c r="A17" s="117"/>
      <c r="B17" s="210"/>
      <c r="C17" s="118"/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9"/>
    </row>
    <row r="18" spans="1:16" s="10" customFormat="1" ht="15" thickTop="1" thickBot="1" x14ac:dyDescent="0.6">
      <c r="A18" s="816" t="s">
        <v>162</v>
      </c>
      <c r="B18" s="855"/>
      <c r="C18" s="853" t="s">
        <v>124</v>
      </c>
      <c r="D18" s="853"/>
      <c r="E18" s="853"/>
      <c r="F18" s="853"/>
      <c r="G18" s="853"/>
      <c r="H18" s="853"/>
      <c r="I18" s="853"/>
      <c r="J18" s="853"/>
      <c r="K18" s="853"/>
      <c r="L18" s="853"/>
      <c r="M18" s="853"/>
      <c r="N18" s="853"/>
      <c r="O18" s="853"/>
      <c r="P18" s="854"/>
    </row>
    <row r="19" spans="1:16" ht="14.7" thickTop="1" x14ac:dyDescent="0.55000000000000004">
      <c r="A19" s="115"/>
      <c r="B19" s="120" t="s">
        <v>114</v>
      </c>
      <c r="C19" s="54" t="s">
        <v>115</v>
      </c>
      <c r="D19" s="54" t="s">
        <v>119</v>
      </c>
      <c r="E19" s="55" t="s">
        <v>194</v>
      </c>
      <c r="F19" s="55" t="s">
        <v>119</v>
      </c>
      <c r="G19" s="53" t="s">
        <v>119</v>
      </c>
      <c r="H19" s="53" t="s">
        <v>119</v>
      </c>
      <c r="I19" s="53" t="s">
        <v>122</v>
      </c>
      <c r="J19" s="88" t="s">
        <v>121</v>
      </c>
      <c r="K19" s="88" t="s">
        <v>115</v>
      </c>
      <c r="L19" s="53" t="s">
        <v>119</v>
      </c>
      <c r="M19" s="53" t="s">
        <v>122</v>
      </c>
      <c r="N19" s="53" t="s">
        <v>119</v>
      </c>
      <c r="O19" s="350" t="s">
        <v>119</v>
      </c>
      <c r="P19" s="56" t="s">
        <v>122</v>
      </c>
    </row>
    <row r="20" spans="1:16" ht="14.7" thickBot="1" x14ac:dyDescent="0.6">
      <c r="A20" s="115"/>
      <c r="B20" s="120" t="s">
        <v>118</v>
      </c>
      <c r="C20" s="54" t="s">
        <v>116</v>
      </c>
      <c r="D20" s="54" t="s">
        <v>120</v>
      </c>
      <c r="E20" s="55" t="s">
        <v>155</v>
      </c>
      <c r="F20" s="55" t="s">
        <v>120</v>
      </c>
      <c r="G20" s="53" t="s">
        <v>120</v>
      </c>
      <c r="H20" s="53" t="s">
        <v>120</v>
      </c>
      <c r="I20" s="53" t="s">
        <v>116</v>
      </c>
      <c r="J20" s="88" t="s">
        <v>155</v>
      </c>
      <c r="K20" s="88" t="s">
        <v>116</v>
      </c>
      <c r="L20" s="53" t="s">
        <v>120</v>
      </c>
      <c r="M20" s="53" t="s">
        <v>155</v>
      </c>
      <c r="N20" s="53" t="s">
        <v>120</v>
      </c>
      <c r="O20" s="350" t="s">
        <v>120</v>
      </c>
      <c r="P20" s="56" t="s">
        <v>155</v>
      </c>
    </row>
    <row r="21" spans="1:16" s="10" customFormat="1" ht="15" thickTop="1" thickBot="1" x14ac:dyDescent="0.6">
      <c r="A21" s="856" t="s">
        <v>123</v>
      </c>
      <c r="B21" s="857"/>
      <c r="C21" s="806" t="s">
        <v>123</v>
      </c>
      <c r="D21" s="806"/>
      <c r="E21" s="806"/>
      <c r="F21" s="806"/>
      <c r="G21" s="806"/>
      <c r="H21" s="806"/>
      <c r="I21" s="806"/>
      <c r="J21" s="806"/>
      <c r="K21" s="806"/>
      <c r="L21" s="806"/>
      <c r="M21" s="806"/>
      <c r="N21" s="806"/>
      <c r="O21" s="806"/>
      <c r="P21" s="807"/>
    </row>
    <row r="22" spans="1:16" ht="14.7" thickTop="1" x14ac:dyDescent="0.55000000000000004">
      <c r="A22" s="115"/>
      <c r="B22" s="120" t="s">
        <v>165</v>
      </c>
      <c r="C22" s="248" t="s">
        <v>288</v>
      </c>
      <c r="D22" s="328" t="s">
        <v>158</v>
      </c>
      <c r="E22" s="112">
        <v>2022</v>
      </c>
      <c r="F22" s="112" t="s">
        <v>289</v>
      </c>
      <c r="G22" s="89" t="s">
        <v>289</v>
      </c>
      <c r="H22" s="89" t="s">
        <v>289</v>
      </c>
      <c r="I22" s="89" t="s">
        <v>290</v>
      </c>
      <c r="J22" s="89">
        <v>2021</v>
      </c>
      <c r="K22" s="89" t="s">
        <v>289</v>
      </c>
      <c r="L22" s="89" t="s">
        <v>289</v>
      </c>
      <c r="M22" s="89">
        <v>2021</v>
      </c>
      <c r="N22" s="89" t="s">
        <v>154</v>
      </c>
      <c r="O22" s="336" t="s">
        <v>154</v>
      </c>
      <c r="P22" s="91">
        <v>2021</v>
      </c>
    </row>
    <row r="23" spans="1:16" x14ac:dyDescent="0.55000000000000004">
      <c r="A23" s="115"/>
      <c r="B23" s="121" t="s">
        <v>115</v>
      </c>
      <c r="C23" s="249">
        <v>2022</v>
      </c>
      <c r="D23" s="329">
        <v>2023</v>
      </c>
      <c r="E23" s="89">
        <v>2023</v>
      </c>
      <c r="F23" s="89">
        <v>2023</v>
      </c>
      <c r="G23" s="89">
        <v>2023</v>
      </c>
      <c r="H23" s="89">
        <v>2023</v>
      </c>
      <c r="I23" s="89">
        <v>2023</v>
      </c>
      <c r="J23" s="89">
        <v>2021</v>
      </c>
      <c r="K23" s="89">
        <v>2022</v>
      </c>
      <c r="L23" s="89">
        <v>2023</v>
      </c>
      <c r="M23" s="89">
        <v>2021</v>
      </c>
      <c r="N23" s="89">
        <v>2023</v>
      </c>
      <c r="O23" s="336">
        <v>2023</v>
      </c>
      <c r="P23" s="91">
        <v>2023</v>
      </c>
    </row>
    <row r="24" spans="1:16" x14ac:dyDescent="0.55000000000000004">
      <c r="A24" s="115"/>
      <c r="B24" s="121" t="s">
        <v>122</v>
      </c>
      <c r="C24" s="249">
        <v>2023</v>
      </c>
      <c r="D24" s="329">
        <v>2023</v>
      </c>
      <c r="E24" s="89">
        <v>2023</v>
      </c>
      <c r="F24" s="89">
        <v>2023</v>
      </c>
      <c r="G24" s="89">
        <v>2023</v>
      </c>
      <c r="H24" s="89">
        <v>2023</v>
      </c>
      <c r="I24" s="89">
        <v>2023</v>
      </c>
      <c r="J24" s="89">
        <v>2022</v>
      </c>
      <c r="K24" s="89">
        <v>2023</v>
      </c>
      <c r="L24" s="89">
        <v>2023</v>
      </c>
      <c r="M24" s="89">
        <v>2023</v>
      </c>
      <c r="N24" s="89">
        <v>2023</v>
      </c>
      <c r="O24" s="336">
        <v>2023</v>
      </c>
      <c r="P24" s="91">
        <v>2023</v>
      </c>
    </row>
    <row r="25" spans="1:16" x14ac:dyDescent="0.55000000000000004">
      <c r="A25" s="115"/>
      <c r="B25" s="120" t="s">
        <v>3</v>
      </c>
      <c r="C25" s="249">
        <v>2024</v>
      </c>
      <c r="D25" s="329">
        <v>2024</v>
      </c>
      <c r="E25" s="89">
        <v>2023</v>
      </c>
      <c r="F25" s="89">
        <v>2023</v>
      </c>
      <c r="G25" s="89">
        <v>2023</v>
      </c>
      <c r="H25" s="89">
        <v>2023</v>
      </c>
      <c r="I25" s="89">
        <v>2023</v>
      </c>
      <c r="J25" s="89">
        <v>2022</v>
      </c>
      <c r="K25" s="89">
        <v>2023</v>
      </c>
      <c r="L25" s="89">
        <v>2024</v>
      </c>
      <c r="M25" s="89">
        <v>2024</v>
      </c>
      <c r="N25" s="89">
        <v>2024</v>
      </c>
      <c r="O25" s="336">
        <v>2024</v>
      </c>
      <c r="P25" s="91">
        <v>2024</v>
      </c>
    </row>
    <row r="26" spans="1:16" x14ac:dyDescent="0.55000000000000004">
      <c r="A26" s="115"/>
      <c r="B26" s="120" t="s">
        <v>109</v>
      </c>
      <c r="C26" s="249">
        <v>2025</v>
      </c>
      <c r="D26" s="329">
        <v>2025</v>
      </c>
      <c r="E26" s="89">
        <v>2024</v>
      </c>
      <c r="F26" s="89">
        <v>2024</v>
      </c>
      <c r="G26" s="89">
        <v>2024</v>
      </c>
      <c r="H26" s="89">
        <v>2024</v>
      </c>
      <c r="I26" s="89">
        <v>2025</v>
      </c>
      <c r="J26" s="89">
        <v>2023</v>
      </c>
      <c r="K26" s="89">
        <v>2024</v>
      </c>
      <c r="L26" s="89">
        <v>2025</v>
      </c>
      <c r="M26" s="89">
        <v>2025</v>
      </c>
      <c r="N26" s="89">
        <v>2025</v>
      </c>
      <c r="O26" s="336">
        <v>2025</v>
      </c>
      <c r="P26" s="91">
        <v>2025</v>
      </c>
    </row>
    <row r="27" spans="1:16" ht="14.7" thickBot="1" x14ac:dyDescent="0.6">
      <c r="A27" s="122"/>
      <c r="B27" s="123" t="s">
        <v>107</v>
      </c>
      <c r="C27" s="250">
        <v>2026</v>
      </c>
      <c r="D27" s="330">
        <v>2026</v>
      </c>
      <c r="E27" s="90">
        <v>2026</v>
      </c>
      <c r="F27" s="90">
        <v>2026</v>
      </c>
      <c r="G27" s="90">
        <v>2026</v>
      </c>
      <c r="H27" s="90">
        <v>2025</v>
      </c>
      <c r="I27" s="90">
        <v>2026</v>
      </c>
      <c r="J27" s="90">
        <v>2023</v>
      </c>
      <c r="K27" s="90">
        <v>2025</v>
      </c>
      <c r="L27" s="90">
        <v>2026</v>
      </c>
      <c r="M27" s="90">
        <v>2026</v>
      </c>
      <c r="N27" s="90">
        <v>2026</v>
      </c>
      <c r="O27" s="337">
        <v>2026</v>
      </c>
      <c r="P27" s="92">
        <v>2026</v>
      </c>
    </row>
    <row r="28" spans="1:16" ht="14.7" thickTop="1" x14ac:dyDescent="0.55000000000000004"/>
    <row r="30" spans="1:16" x14ac:dyDescent="0.55000000000000004">
      <c r="C30" s="94"/>
      <c r="D30" s="65"/>
    </row>
    <row r="31" spans="1:16" ht="14.7" thickBot="1" x14ac:dyDescent="0.6">
      <c r="C31" s="94"/>
      <c r="D31" s="65"/>
    </row>
    <row r="32" spans="1:16" ht="15" thickTop="1" thickBot="1" x14ac:dyDescent="0.6">
      <c r="A32" s="233" t="s">
        <v>156</v>
      </c>
      <c r="B32" s="683">
        <f>B6</f>
        <v>83558090</v>
      </c>
      <c r="C32" s="234">
        <v>1</v>
      </c>
      <c r="D32" s="94" t="s">
        <v>216</v>
      </c>
    </row>
    <row r="33" spans="1:4" ht="14.7" thickTop="1" x14ac:dyDescent="0.55000000000000004">
      <c r="A33" s="680" t="s">
        <v>213</v>
      </c>
      <c r="B33" s="681">
        <f>SUM(B12:B14)</f>
        <v>38457554</v>
      </c>
      <c r="C33" s="682">
        <f>B33/B32</f>
        <v>0.46024931876733899</v>
      </c>
      <c r="D33" s="94" t="s">
        <v>217</v>
      </c>
    </row>
    <row r="34" spans="1:4" x14ac:dyDescent="0.55000000000000004">
      <c r="A34" s="677" t="s">
        <v>214</v>
      </c>
      <c r="B34" s="679">
        <f>B11</f>
        <v>4750216</v>
      </c>
      <c r="C34" s="678">
        <f>B34/B32</f>
        <v>5.6849264984395888E-2</v>
      </c>
      <c r="D34" s="232"/>
    </row>
    <row r="35" spans="1:4" ht="14.7" thickBot="1" x14ac:dyDescent="0.6">
      <c r="A35" s="684" t="s">
        <v>215</v>
      </c>
      <c r="B35" s="685">
        <f>B16</f>
        <v>40350320</v>
      </c>
      <c r="C35" s="686">
        <f>B35/B32</f>
        <v>0.4829014162482651</v>
      </c>
      <c r="D35" s="232"/>
    </row>
    <row r="36" spans="1:4" ht="14.7" thickTop="1" x14ac:dyDescent="0.55000000000000004"/>
  </sheetData>
  <mergeCells count="5">
    <mergeCell ref="C5:P5"/>
    <mergeCell ref="C18:P18"/>
    <mergeCell ref="C21:P21"/>
    <mergeCell ref="A18:B18"/>
    <mergeCell ref="A21:B21"/>
  </mergeCells>
  <printOptions horizontalCentered="1" verticalCentered="1"/>
  <pageMargins left="0.25" right="0.25" top="0.75" bottom="0.75" header="0.3" footer="0.3"/>
  <pageSetup paperSize="3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E6EC9-5235-48BA-B18A-6A7F495217FD}">
  <sheetPr>
    <tabColor rgb="FF92D050"/>
  </sheetPr>
  <dimension ref="A3:T19"/>
  <sheetViews>
    <sheetView workbookViewId="0">
      <selection activeCell="A38" sqref="A38"/>
    </sheetView>
  </sheetViews>
  <sheetFormatPr defaultRowHeight="14.4" x14ac:dyDescent="0.55000000000000004"/>
  <cols>
    <col min="1" max="1" width="39.578125" style="49" customWidth="1"/>
    <col min="2" max="2" width="15.26171875" style="66" customWidth="1"/>
    <col min="3" max="3" width="11.68359375" style="66" hidden="1" customWidth="1"/>
    <col min="4" max="4" width="13.41796875" style="66" hidden="1" customWidth="1"/>
    <col min="5" max="6" width="15.41796875" style="66" hidden="1" customWidth="1"/>
    <col min="7" max="8" width="15.41796875" style="65" hidden="1" customWidth="1"/>
    <col min="9" max="10" width="10.578125" customWidth="1"/>
    <col min="11" max="14" width="11" bestFit="1" customWidth="1"/>
    <col min="15" max="15" width="21.41796875" bestFit="1" customWidth="1"/>
    <col min="16" max="20" width="14.68359375" customWidth="1"/>
  </cols>
  <sheetData>
    <row r="3" spans="1:20" x14ac:dyDescent="0.55000000000000004">
      <c r="I3" s="858" t="s">
        <v>296</v>
      </c>
      <c r="J3" s="859"/>
      <c r="K3" s="859"/>
      <c r="L3" s="859"/>
      <c r="M3" s="859"/>
      <c r="N3" s="860"/>
    </row>
    <row r="4" spans="1:20" ht="28.8" x14ac:dyDescent="0.55000000000000004">
      <c r="A4" s="66" t="s">
        <v>297</v>
      </c>
      <c r="B4" s="205" t="s">
        <v>310</v>
      </c>
      <c r="C4" s="205" t="s">
        <v>479</v>
      </c>
      <c r="D4" s="205" t="s">
        <v>480</v>
      </c>
      <c r="E4" s="66" t="s">
        <v>121</v>
      </c>
      <c r="F4" s="205" t="s">
        <v>470</v>
      </c>
      <c r="G4" s="758" t="s">
        <v>482</v>
      </c>
      <c r="H4" s="758" t="s">
        <v>469</v>
      </c>
      <c r="I4" s="66" t="s">
        <v>298</v>
      </c>
      <c r="J4" s="66" t="s">
        <v>299</v>
      </c>
      <c r="K4" s="66" t="s">
        <v>300</v>
      </c>
      <c r="L4" s="66" t="s">
        <v>301</v>
      </c>
      <c r="M4" s="66" t="s">
        <v>302</v>
      </c>
      <c r="N4" s="66" t="s">
        <v>303</v>
      </c>
      <c r="O4" s="66" t="s">
        <v>165</v>
      </c>
      <c r="P4" s="66" t="s">
        <v>304</v>
      </c>
      <c r="Q4" s="66" t="s">
        <v>305</v>
      </c>
      <c r="R4" s="66" t="s">
        <v>3</v>
      </c>
      <c r="S4" s="205" t="s">
        <v>306</v>
      </c>
      <c r="T4" s="205" t="s">
        <v>307</v>
      </c>
    </row>
    <row r="5" spans="1:20" x14ac:dyDescent="0.55000000000000004">
      <c r="A5" s="359" t="s">
        <v>100</v>
      </c>
      <c r="B5" s="972">
        <f t="shared" ref="B5:B18" si="0">SUM(C5:E5)</f>
        <v>4940270</v>
      </c>
      <c r="C5" s="972">
        <v>490270</v>
      </c>
      <c r="D5" s="972">
        <v>450000</v>
      </c>
      <c r="E5" s="972">
        <v>4000000</v>
      </c>
      <c r="F5" s="972">
        <f>Table36[[#This Row],[CONSTRUCTION]]-(Table36[[#This Row],[CONSTRUCTION 
CONTINGENCY]]+Table36[[#This Row],[CONSTRUCTION ENGINEERING]])</f>
        <v>3200000</v>
      </c>
      <c r="G5" s="973">
        <f>Table36[[#This Row],[CONSTRUCTION]]*0.1</f>
        <v>400000</v>
      </c>
      <c r="H5" s="973">
        <f>Table36[[#This Row],[CONSTRUCTION]]*0.1</f>
        <v>400000</v>
      </c>
      <c r="I5" s="974"/>
      <c r="J5" s="975">
        <v>190810</v>
      </c>
      <c r="K5" s="975">
        <v>200000</v>
      </c>
      <c r="L5" s="975">
        <f>D5+99460</f>
        <v>549460</v>
      </c>
      <c r="M5" s="975">
        <f>E5/2</f>
        <v>2000000</v>
      </c>
      <c r="N5" s="975">
        <f>E5/2</f>
        <v>2000000</v>
      </c>
      <c r="O5" s="66" t="s">
        <v>158</v>
      </c>
      <c r="P5" s="66">
        <v>2023</v>
      </c>
      <c r="Q5" s="66">
        <v>2023</v>
      </c>
      <c r="R5" s="66">
        <v>2024</v>
      </c>
      <c r="S5" s="66">
        <v>2025</v>
      </c>
      <c r="T5" s="66">
        <v>2026</v>
      </c>
    </row>
    <row r="6" spans="1:20" x14ac:dyDescent="0.55000000000000004">
      <c r="A6" s="359" t="s">
        <v>308</v>
      </c>
      <c r="B6" s="972">
        <f t="shared" si="0"/>
        <v>1350000</v>
      </c>
      <c r="C6" s="972">
        <v>600000</v>
      </c>
      <c r="D6" s="972"/>
      <c r="E6" s="972">
        <v>750000</v>
      </c>
      <c r="F6" s="972">
        <f>Table36[[#This Row],[CONSTRUCTION]]-(Table36[[#This Row],[CONSTRUCTION 
CONTINGENCY]]+Table36[[#This Row],[CONSTRUCTION ENGINEERING]])</f>
        <v>600000</v>
      </c>
      <c r="G6" s="973">
        <f>Table36[[#This Row],[CONSTRUCTION]]*0.1</f>
        <v>75000</v>
      </c>
      <c r="H6" s="973">
        <f>Table36[[#This Row],[CONSTRUCTION]]*0.1</f>
        <v>75000</v>
      </c>
      <c r="I6" s="974"/>
      <c r="J6" s="975"/>
      <c r="K6" s="975">
        <f>C6</f>
        <v>600000</v>
      </c>
      <c r="L6" s="975"/>
      <c r="M6" s="975">
        <f>E6</f>
        <v>750000</v>
      </c>
      <c r="N6" s="975"/>
      <c r="O6" s="66" t="s">
        <v>158</v>
      </c>
      <c r="P6" s="66">
        <v>2023</v>
      </c>
      <c r="Q6" s="66">
        <v>2023</v>
      </c>
      <c r="R6" s="66">
        <v>2024</v>
      </c>
      <c r="S6" s="66">
        <v>2025</v>
      </c>
      <c r="T6" s="66">
        <v>2026</v>
      </c>
    </row>
    <row r="7" spans="1:20" x14ac:dyDescent="0.55000000000000004">
      <c r="A7" s="359" t="s">
        <v>136</v>
      </c>
      <c r="B7" s="972">
        <f t="shared" si="0"/>
        <v>19000000</v>
      </c>
      <c r="C7" s="972">
        <f>19000000*0.1</f>
        <v>1900000</v>
      </c>
      <c r="D7" s="972"/>
      <c r="E7" s="972">
        <v>17100000</v>
      </c>
      <c r="F7" s="972">
        <f>Table36[[#This Row],[CONSTRUCTION]]-(Table36[[#This Row],[CONSTRUCTION 
CONTINGENCY]]+Table36[[#This Row],[CONSTRUCTION ENGINEERING]])</f>
        <v>13680000</v>
      </c>
      <c r="G7" s="973">
        <f>Table36[[#This Row],[CONSTRUCTION]]*0.1</f>
        <v>1710000</v>
      </c>
      <c r="H7" s="973">
        <f>Table36[[#This Row],[CONSTRUCTION]]*0.1</f>
        <v>1710000</v>
      </c>
      <c r="I7" s="974"/>
      <c r="J7" s="975"/>
      <c r="K7" s="975">
        <v>1900000</v>
      </c>
      <c r="L7" s="975">
        <f>E7/3</f>
        <v>5700000</v>
      </c>
      <c r="M7" s="975">
        <f>E7/3</f>
        <v>5700000</v>
      </c>
      <c r="N7" s="975">
        <f>E7/3</f>
        <v>5700000</v>
      </c>
      <c r="O7" s="235">
        <v>2022</v>
      </c>
      <c r="P7" s="235">
        <v>2022</v>
      </c>
      <c r="Q7" s="235">
        <v>2023</v>
      </c>
      <c r="R7" s="235">
        <v>2023</v>
      </c>
      <c r="S7" s="235">
        <v>2024</v>
      </c>
      <c r="T7" s="235">
        <v>2026</v>
      </c>
    </row>
    <row r="8" spans="1:20" x14ac:dyDescent="0.55000000000000004">
      <c r="A8" s="381" t="s">
        <v>195</v>
      </c>
      <c r="B8" s="972">
        <f t="shared" si="0"/>
        <v>10000000</v>
      </c>
      <c r="C8" s="973">
        <v>800000</v>
      </c>
      <c r="D8" s="973">
        <v>50000</v>
      </c>
      <c r="E8" s="973">
        <v>9150000</v>
      </c>
      <c r="F8" s="973">
        <f>Table36[[#This Row],[CONSTRUCTION]]-(Table36[[#This Row],[CONSTRUCTION 
CONTINGENCY]]+Table36[[#This Row],[CONSTRUCTION ENGINEERING]])</f>
        <v>7320000</v>
      </c>
      <c r="G8" s="973">
        <f>Table36[[#This Row],[CONSTRUCTION]]*0.1</f>
        <v>915000</v>
      </c>
      <c r="H8" s="973">
        <f>Table36[[#This Row],[CONSTRUCTION]]*0.1</f>
        <v>915000</v>
      </c>
      <c r="I8" s="974"/>
      <c r="J8" s="976"/>
      <c r="K8" s="976">
        <v>400000</v>
      </c>
      <c r="L8" s="976">
        <v>450000</v>
      </c>
      <c r="M8" s="976">
        <f>Table36[[#This Row],[CONSTRUCTION]]/2</f>
        <v>4575000</v>
      </c>
      <c r="N8" s="976">
        <f>Table36[[#This Row],[CONSTRUCTION]]/2</f>
        <v>4575000</v>
      </c>
      <c r="O8" s="382" t="s">
        <v>154</v>
      </c>
      <c r="P8" s="382">
        <v>2022</v>
      </c>
      <c r="Q8" s="382">
        <v>2023</v>
      </c>
      <c r="R8" s="382">
        <v>2024</v>
      </c>
      <c r="S8" s="382">
        <v>2025</v>
      </c>
      <c r="T8" s="382">
        <v>2026</v>
      </c>
    </row>
    <row r="9" spans="1:20" x14ac:dyDescent="0.55000000000000004">
      <c r="A9" s="359" t="s">
        <v>101</v>
      </c>
      <c r="B9" s="972">
        <f t="shared" si="0"/>
        <v>6100000</v>
      </c>
      <c r="C9" s="972">
        <v>300000</v>
      </c>
      <c r="D9" s="972"/>
      <c r="E9" s="972">
        <f>1200000+4600000</f>
        <v>5800000</v>
      </c>
      <c r="F9" s="972">
        <f>Table36[[#This Row],[CONSTRUCTION]]-(Table36[[#This Row],[CONSTRUCTION 
CONTINGENCY]]+Table36[[#This Row],[CONSTRUCTION ENGINEERING]])</f>
        <v>4640000</v>
      </c>
      <c r="G9" s="973">
        <f>Table36[[#This Row],[CONSTRUCTION]]*0.1</f>
        <v>580000</v>
      </c>
      <c r="H9" s="973">
        <f>Table36[[#This Row],[CONSTRUCTION]]*0.1</f>
        <v>580000</v>
      </c>
      <c r="I9" s="974"/>
      <c r="J9" s="975"/>
      <c r="K9" s="975">
        <f>C9</f>
        <v>300000</v>
      </c>
      <c r="L9" s="975">
        <f>E9/3</f>
        <v>1933333.3333333333</v>
      </c>
      <c r="M9" s="975">
        <f>E9/3</f>
        <v>1933333.3333333333</v>
      </c>
      <c r="N9" s="975">
        <f>E9/3</f>
        <v>1933333.3333333333</v>
      </c>
      <c r="O9" s="235" t="s">
        <v>154</v>
      </c>
      <c r="P9" s="235">
        <v>2021</v>
      </c>
      <c r="Q9" s="235">
        <v>2023</v>
      </c>
      <c r="R9" s="235">
        <v>2023</v>
      </c>
      <c r="S9" s="235">
        <v>2024</v>
      </c>
      <c r="T9" s="235">
        <v>2026</v>
      </c>
    </row>
    <row r="10" spans="1:20" x14ac:dyDescent="0.55000000000000004">
      <c r="A10" s="359" t="s">
        <v>287</v>
      </c>
      <c r="B10" s="972">
        <f t="shared" si="0"/>
        <v>500000</v>
      </c>
      <c r="C10" s="972">
        <v>75000</v>
      </c>
      <c r="D10" s="972"/>
      <c r="E10" s="972">
        <v>425000</v>
      </c>
      <c r="F10" s="972">
        <f>Table36[[#This Row],[CONSTRUCTION]]-(Table36[[#This Row],[CONSTRUCTION 
CONTINGENCY]]+Table36[[#This Row],[CONSTRUCTION ENGINEERING]])</f>
        <v>340000</v>
      </c>
      <c r="G10" s="973">
        <f>Table36[[#This Row],[CONSTRUCTION]]*0.1</f>
        <v>42500</v>
      </c>
      <c r="H10" s="973">
        <f>Table36[[#This Row],[CONSTRUCTION]]*0.1</f>
        <v>42500</v>
      </c>
      <c r="I10" s="974"/>
      <c r="J10" s="975"/>
      <c r="K10" s="975">
        <f>C10</f>
        <v>75000</v>
      </c>
      <c r="L10" s="975"/>
      <c r="M10" s="975">
        <f>E10</f>
        <v>425000</v>
      </c>
      <c r="N10" s="975"/>
      <c r="O10" s="235"/>
      <c r="P10" s="235">
        <v>2023</v>
      </c>
      <c r="Q10" s="235">
        <v>2023</v>
      </c>
      <c r="R10" s="235">
        <v>2023</v>
      </c>
      <c r="S10" s="235">
        <v>2024</v>
      </c>
      <c r="T10" s="235">
        <v>2026</v>
      </c>
    </row>
    <row r="11" spans="1:20" x14ac:dyDescent="0.55000000000000004">
      <c r="A11" s="359" t="s">
        <v>137</v>
      </c>
      <c r="B11" s="972">
        <f t="shared" si="0"/>
        <v>5009820</v>
      </c>
      <c r="C11" s="972">
        <v>722470</v>
      </c>
      <c r="D11" s="972"/>
      <c r="E11" s="972">
        <f>3612350+500000+55000+120000</f>
        <v>4287350</v>
      </c>
      <c r="F11" s="972">
        <f>Table36[[#This Row],[CONSTRUCTION]]-(Table36[[#This Row],[CONSTRUCTION 
CONTINGENCY]]+Table36[[#This Row],[CONSTRUCTION ENGINEERING]])</f>
        <v>3429880</v>
      </c>
      <c r="G11" s="973">
        <f>Table36[[#This Row],[CONSTRUCTION]]*0.1</f>
        <v>428735</v>
      </c>
      <c r="H11" s="973">
        <f>Table36[[#This Row],[CONSTRUCTION]]*0.1</f>
        <v>428735</v>
      </c>
      <c r="I11" s="974"/>
      <c r="J11" s="975"/>
      <c r="K11" s="975">
        <f>C11/2</f>
        <v>361235</v>
      </c>
      <c r="L11" s="975">
        <f>C11/2</f>
        <v>361235</v>
      </c>
      <c r="M11" s="975">
        <f>E11/2</f>
        <v>2143675</v>
      </c>
      <c r="N11" s="975">
        <f>E11/2</f>
        <v>2143675</v>
      </c>
      <c r="O11" s="235" t="s">
        <v>154</v>
      </c>
      <c r="P11" s="235">
        <v>2021</v>
      </c>
      <c r="Q11" s="235">
        <v>2023</v>
      </c>
      <c r="R11" s="235">
        <v>2023</v>
      </c>
      <c r="S11" s="235">
        <v>2025</v>
      </c>
      <c r="T11" s="235">
        <v>2026</v>
      </c>
    </row>
    <row r="12" spans="1:20" x14ac:dyDescent="0.55000000000000004">
      <c r="A12" s="359" t="s">
        <v>102</v>
      </c>
      <c r="B12" s="972">
        <f t="shared" si="0"/>
        <v>4670000</v>
      </c>
      <c r="C12" s="972">
        <v>120000</v>
      </c>
      <c r="D12" s="972"/>
      <c r="E12" s="972">
        <f>100000+500000+150000+120000+3800000-120000</f>
        <v>4550000</v>
      </c>
      <c r="F12" s="972">
        <f>Table36[[#This Row],[CONSTRUCTION]]-(Table36[[#This Row],[CONSTRUCTION 
CONTINGENCY]]+Table36[[#This Row],[CONSTRUCTION ENGINEERING]])</f>
        <v>3640000</v>
      </c>
      <c r="G12" s="973">
        <f>Table36[[#This Row],[CONSTRUCTION]]*0.1</f>
        <v>455000</v>
      </c>
      <c r="H12" s="973">
        <f>Table36[[#This Row],[CONSTRUCTION]]*0.1</f>
        <v>455000</v>
      </c>
      <c r="I12" s="974"/>
      <c r="J12" s="975">
        <v>120000</v>
      </c>
      <c r="K12" s="975">
        <v>4550000</v>
      </c>
      <c r="L12" s="975"/>
      <c r="M12" s="975"/>
      <c r="N12" s="975"/>
      <c r="O12" s="235">
        <v>2021</v>
      </c>
      <c r="P12" s="235">
        <v>2021</v>
      </c>
      <c r="Q12" s="235">
        <v>2021</v>
      </c>
      <c r="R12" s="235">
        <v>2021</v>
      </c>
      <c r="S12" s="235">
        <v>2022</v>
      </c>
      <c r="T12" s="235">
        <v>2022</v>
      </c>
    </row>
    <row r="13" spans="1:20" x14ac:dyDescent="0.55000000000000004">
      <c r="A13" s="359" t="s">
        <v>110</v>
      </c>
      <c r="B13" s="972">
        <f t="shared" si="0"/>
        <v>2738000</v>
      </c>
      <c r="C13" s="972">
        <v>410700</v>
      </c>
      <c r="D13" s="972"/>
      <c r="E13" s="972">
        <v>2327300</v>
      </c>
      <c r="F13" s="972">
        <f>Table36[[#This Row],[CONSTRUCTION]]-(Table36[[#This Row],[CONSTRUCTION 
CONTINGENCY]]+Table36[[#This Row],[CONSTRUCTION ENGINEERING]])</f>
        <v>1861840</v>
      </c>
      <c r="G13" s="973">
        <f>Table36[[#This Row],[CONSTRUCTION]]*0.1</f>
        <v>232730</v>
      </c>
      <c r="H13" s="973">
        <f>Table36[[#This Row],[CONSTRUCTION]]*0.1</f>
        <v>232730</v>
      </c>
      <c r="I13" s="974"/>
      <c r="J13" s="975">
        <v>100000</v>
      </c>
      <c r="K13" s="975">
        <f>Table36[[#This Row],[NEPA &amp; 
DESIGN]]-J13</f>
        <v>310700</v>
      </c>
      <c r="L13" s="975">
        <f>E13/2</f>
        <v>1163650</v>
      </c>
      <c r="M13" s="975">
        <f>E13/2</f>
        <v>1163650</v>
      </c>
      <c r="N13" s="975"/>
      <c r="O13" s="235" t="s">
        <v>154</v>
      </c>
      <c r="P13" s="235">
        <v>2022</v>
      </c>
      <c r="Q13" s="235">
        <v>2023</v>
      </c>
      <c r="R13" s="235">
        <v>2023</v>
      </c>
      <c r="S13" s="235">
        <v>2024</v>
      </c>
      <c r="T13" s="235">
        <v>2025</v>
      </c>
    </row>
    <row r="14" spans="1:20" x14ac:dyDescent="0.55000000000000004">
      <c r="A14" s="359" t="s">
        <v>103</v>
      </c>
      <c r="B14" s="972">
        <f t="shared" si="0"/>
        <v>19500000</v>
      </c>
      <c r="C14" s="972">
        <f>1900000</f>
        <v>1900000</v>
      </c>
      <c r="D14" s="972">
        <v>595000</v>
      </c>
      <c r="E14" s="972">
        <v>17005000</v>
      </c>
      <c r="F14" s="972">
        <f>Table36[[#This Row],[CONSTRUCTION]]-(Table36[[#This Row],[CONSTRUCTION 
CONTINGENCY]]+Table36[[#This Row],[CONSTRUCTION ENGINEERING]])</f>
        <v>13604000</v>
      </c>
      <c r="G14" s="973">
        <f>Table36[[#This Row],[CONSTRUCTION]]*0.1</f>
        <v>1700500</v>
      </c>
      <c r="H14" s="973">
        <f>Table36[[#This Row],[CONSTRUCTION]]*0.1</f>
        <v>1700500</v>
      </c>
      <c r="I14" s="974"/>
      <c r="J14" s="975"/>
      <c r="K14" s="975">
        <f>C14/2</f>
        <v>950000</v>
      </c>
      <c r="L14" s="975">
        <f>D14+(C14/2)</f>
        <v>1545000</v>
      </c>
      <c r="M14" s="975">
        <f>E14/2</f>
        <v>8502500</v>
      </c>
      <c r="N14" s="975">
        <f>E14/2</f>
        <v>8502500</v>
      </c>
      <c r="O14" s="235" t="s">
        <v>154</v>
      </c>
      <c r="P14" s="235">
        <v>2022</v>
      </c>
      <c r="Q14" s="235">
        <v>2023</v>
      </c>
      <c r="R14" s="235">
        <v>2024</v>
      </c>
      <c r="S14" s="235">
        <v>2025</v>
      </c>
      <c r="T14" s="235">
        <v>2026</v>
      </c>
    </row>
    <row r="15" spans="1:20" x14ac:dyDescent="0.55000000000000004">
      <c r="A15" s="359" t="s">
        <v>212</v>
      </c>
      <c r="B15" s="972">
        <f t="shared" si="0"/>
        <v>6000000</v>
      </c>
      <c r="C15" s="972">
        <v>600000</v>
      </c>
      <c r="D15" s="972"/>
      <c r="E15" s="972">
        <v>5400000</v>
      </c>
      <c r="F15" s="972">
        <f>Table36[[#This Row],[CONSTRUCTION]]-(Table36[[#This Row],[CONSTRUCTION 
CONTINGENCY]]+Table36[[#This Row],[CONSTRUCTION ENGINEERING]])</f>
        <v>4320000</v>
      </c>
      <c r="G15" s="973">
        <f>Table36[[#This Row],[CONSTRUCTION]]*0.1</f>
        <v>540000</v>
      </c>
      <c r="H15" s="973">
        <f>Table36[[#This Row],[CONSTRUCTION]]*0.1</f>
        <v>540000</v>
      </c>
      <c r="I15" s="974"/>
      <c r="J15" s="975"/>
      <c r="K15" s="975">
        <f>C15/2</f>
        <v>300000</v>
      </c>
      <c r="L15" s="975">
        <f>C15/2</f>
        <v>300000</v>
      </c>
      <c r="M15" s="975">
        <f>E15/2</f>
        <v>2700000</v>
      </c>
      <c r="N15" s="975">
        <f>E15/2</f>
        <v>2700000</v>
      </c>
      <c r="O15" s="235"/>
      <c r="P15" s="235">
        <v>2022</v>
      </c>
      <c r="Q15" s="235">
        <v>2023</v>
      </c>
      <c r="R15" s="235">
        <v>2024</v>
      </c>
      <c r="S15" s="235">
        <v>2025</v>
      </c>
      <c r="T15" s="235">
        <v>2026</v>
      </c>
    </row>
    <row r="16" spans="1:20" x14ac:dyDescent="0.55000000000000004">
      <c r="A16" s="359" t="s">
        <v>104</v>
      </c>
      <c r="B16" s="972">
        <f t="shared" si="0"/>
        <v>250000</v>
      </c>
      <c r="C16" s="977">
        <v>50000</v>
      </c>
      <c r="D16" s="977"/>
      <c r="E16" s="977">
        <v>200000</v>
      </c>
      <c r="F16" s="977">
        <f>Table36[[#This Row],[CONSTRUCTION]]-(Table36[[#This Row],[CONSTRUCTION 
CONTINGENCY]]+Table36[[#This Row],[CONSTRUCTION ENGINEERING]])</f>
        <v>160000</v>
      </c>
      <c r="G16" s="977">
        <f>Table36[[#This Row],[CONSTRUCTION]]*0.1</f>
        <v>20000</v>
      </c>
      <c r="H16" s="977">
        <f>Table36[[#This Row],[CONSTRUCTION]]*0.1</f>
        <v>20000</v>
      </c>
      <c r="I16" s="974"/>
      <c r="J16" s="975"/>
      <c r="K16" s="975">
        <f>C16</f>
        <v>50000</v>
      </c>
      <c r="L16" s="975">
        <f>E16</f>
        <v>200000</v>
      </c>
      <c r="M16" s="975"/>
      <c r="N16" s="975"/>
      <c r="O16" s="235" t="s">
        <v>154</v>
      </c>
      <c r="P16" s="235">
        <v>2023</v>
      </c>
      <c r="Q16" s="235">
        <v>2023</v>
      </c>
      <c r="R16" s="235">
        <v>2024</v>
      </c>
      <c r="S16" s="235">
        <v>2025</v>
      </c>
      <c r="T16" s="235">
        <v>2026</v>
      </c>
    </row>
    <row r="17" spans="1:20" x14ac:dyDescent="0.55000000000000004">
      <c r="A17" s="359" t="s">
        <v>309</v>
      </c>
      <c r="B17" s="972">
        <f t="shared" si="0"/>
        <v>1500000</v>
      </c>
      <c r="C17" s="977">
        <v>150000</v>
      </c>
      <c r="D17" s="977"/>
      <c r="E17" s="977">
        <v>1350000</v>
      </c>
      <c r="F17" s="977">
        <f>Table36[[#This Row],[CONSTRUCTION]]-(Table36[[#This Row],[CONSTRUCTION 
CONTINGENCY]]+Table36[[#This Row],[CONSTRUCTION ENGINEERING]])</f>
        <v>1080000</v>
      </c>
      <c r="G17" s="977">
        <f>Table36[[#This Row],[CONSTRUCTION]]*0.1</f>
        <v>135000</v>
      </c>
      <c r="H17" s="977">
        <f>Table36[[#This Row],[CONSTRUCTION]]*0.1</f>
        <v>135000</v>
      </c>
      <c r="I17" s="974"/>
      <c r="J17" s="975"/>
      <c r="K17" s="975">
        <f>C17</f>
        <v>150000</v>
      </c>
      <c r="L17" s="975"/>
      <c r="M17" s="975">
        <f>E17</f>
        <v>1350000</v>
      </c>
      <c r="N17" s="975"/>
      <c r="O17" s="235" t="s">
        <v>154</v>
      </c>
      <c r="P17" s="235">
        <v>2023</v>
      </c>
      <c r="Q17" s="235">
        <v>2023</v>
      </c>
      <c r="R17" s="235">
        <v>2024</v>
      </c>
      <c r="S17" s="235">
        <v>2025</v>
      </c>
      <c r="T17" s="235">
        <v>2026</v>
      </c>
    </row>
    <row r="18" spans="1:20" x14ac:dyDescent="0.55000000000000004">
      <c r="A18" s="359" t="s">
        <v>196</v>
      </c>
      <c r="B18" s="972">
        <f t="shared" si="0"/>
        <v>2000000</v>
      </c>
      <c r="C18" s="977">
        <v>200000</v>
      </c>
      <c r="D18" s="977"/>
      <c r="E18" s="977">
        <v>1800000</v>
      </c>
      <c r="F18" s="977">
        <f>Table36[[#This Row],[CONSTRUCTION]]-(Table36[[#This Row],[CONSTRUCTION 
CONTINGENCY]]+Table36[[#This Row],[CONSTRUCTION ENGINEERING]])</f>
        <v>1440000</v>
      </c>
      <c r="G18" s="977">
        <f>Table36[[#This Row],[CONSTRUCTION]]*0.1</f>
        <v>180000</v>
      </c>
      <c r="H18" s="977">
        <f>Table36[[#This Row],[CONSTRUCTION]]*0.1</f>
        <v>180000</v>
      </c>
      <c r="I18" s="974"/>
      <c r="J18" s="975"/>
      <c r="K18" s="975">
        <f>C18</f>
        <v>200000</v>
      </c>
      <c r="L18" s="975"/>
      <c r="M18" s="975">
        <f>E18/2</f>
        <v>900000</v>
      </c>
      <c r="N18" s="975">
        <f>E18/2</f>
        <v>900000</v>
      </c>
      <c r="O18" s="235"/>
      <c r="P18" s="235">
        <v>2023</v>
      </c>
      <c r="Q18" s="235">
        <v>2023</v>
      </c>
      <c r="R18" s="235">
        <v>2024</v>
      </c>
      <c r="S18" s="235">
        <v>2025</v>
      </c>
      <c r="T18" s="235">
        <v>2026</v>
      </c>
    </row>
    <row r="19" spans="1:20" x14ac:dyDescent="0.55000000000000004">
      <c r="A19" s="381"/>
      <c r="B19" s="973">
        <f>SUM(Table36[TOTAL COST])</f>
        <v>83558090</v>
      </c>
      <c r="C19" s="978">
        <f>SUM(Table36[NEPA &amp; 
DESIGN])</f>
        <v>8318440</v>
      </c>
      <c r="D19" s="978">
        <f>SUM(Table36[ROW &amp; 
UTILITY])</f>
        <v>1095000</v>
      </c>
      <c r="E19" s="978">
        <f>SUM(Table36[CONSTRUCTION])</f>
        <v>74144650</v>
      </c>
      <c r="F19" s="978">
        <f>SUM(Table36[CONSTRUCTION 
ONLY])</f>
        <v>59315720</v>
      </c>
      <c r="G19" s="978">
        <f>SUM(Table36[CONSTRUCTION 
CONTINGENCY])</f>
        <v>7414465</v>
      </c>
      <c r="H19" s="978">
        <f>SUM(Table36[CONSTRUCTION ENGINEERING])</f>
        <v>7414465</v>
      </c>
      <c r="I19" s="979">
        <f>SUM(Table36[2021])</f>
        <v>0</v>
      </c>
      <c r="J19" s="976">
        <f>SUM(Table36[2022])</f>
        <v>410810</v>
      </c>
      <c r="K19" s="976">
        <f>SUM(Table36[2023])</f>
        <v>10346935</v>
      </c>
      <c r="L19" s="976">
        <f>SUM(Table36[2024])</f>
        <v>12202678.333333334</v>
      </c>
      <c r="M19" s="976">
        <f>SUM(Table36[2025])</f>
        <v>32143158.333333336</v>
      </c>
      <c r="N19" s="976">
        <f>SUM(Table36[2026])</f>
        <v>28454508.333333336</v>
      </c>
      <c r="O19" s="382"/>
      <c r="P19" s="382"/>
      <c r="Q19" s="382"/>
      <c r="R19" s="382"/>
      <c r="S19" s="382"/>
      <c r="T19" s="382"/>
    </row>
  </sheetData>
  <mergeCells count="1">
    <mergeCell ref="I3:N3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A0330-A58E-46FA-9B52-F2DBA4138801}">
  <sheetPr>
    <tabColor rgb="FF92D050"/>
  </sheetPr>
  <dimension ref="A1:C30"/>
  <sheetViews>
    <sheetView workbookViewId="0"/>
  </sheetViews>
  <sheetFormatPr defaultRowHeight="14.4" x14ac:dyDescent="0.55000000000000004"/>
  <cols>
    <col min="2" max="3" width="25.68359375" customWidth="1"/>
  </cols>
  <sheetData>
    <row r="1" spans="1:3" x14ac:dyDescent="0.55000000000000004">
      <c r="A1" t="s">
        <v>485</v>
      </c>
      <c r="B1" s="861" t="s">
        <v>420</v>
      </c>
      <c r="C1" s="861"/>
    </row>
    <row r="2" spans="1:3" ht="28.8" x14ac:dyDescent="0.55000000000000004">
      <c r="B2" s="1" t="s">
        <v>0</v>
      </c>
      <c r="C2" s="1" t="s">
        <v>77</v>
      </c>
    </row>
    <row r="3" spans="1:3" x14ac:dyDescent="0.55000000000000004">
      <c r="B3" s="2">
        <v>1998</v>
      </c>
      <c r="C3" s="3">
        <f>C4+(C4*$C$29)</f>
        <v>1.5171224133932901</v>
      </c>
    </row>
    <row r="4" spans="1:3" x14ac:dyDescent="0.55000000000000004">
      <c r="B4" s="2">
        <v>1999</v>
      </c>
      <c r="C4" s="3">
        <f>C5+(C5*$C$29)</f>
        <v>1.4886490235204151</v>
      </c>
    </row>
    <row r="5" spans="1:3" x14ac:dyDescent="0.55000000000000004">
      <c r="B5" s="2">
        <v>2000</v>
      </c>
      <c r="C5" s="3">
        <f>C6+(C6*$C$29)</f>
        <v>1.4607100229121739</v>
      </c>
    </row>
    <row r="6" spans="1:3" x14ac:dyDescent="0.55000000000000004">
      <c r="B6" s="5">
        <v>2001</v>
      </c>
      <c r="C6" s="3">
        <f>C7+(C7*$C$29)</f>
        <v>1.4332953821380199</v>
      </c>
    </row>
    <row r="7" spans="1:3" x14ac:dyDescent="0.55000000000000004">
      <c r="B7" s="5">
        <v>2002</v>
      </c>
      <c r="C7" s="3">
        <f>C8+(C8*$C$29)</f>
        <v>1.4063952599999998</v>
      </c>
    </row>
    <row r="8" spans="1:3" x14ac:dyDescent="0.55000000000000004">
      <c r="B8" s="4">
        <v>2003</v>
      </c>
      <c r="C8" s="18">
        <v>1.38</v>
      </c>
    </row>
    <row r="9" spans="1:3" x14ac:dyDescent="0.55000000000000004">
      <c r="B9" s="4">
        <v>2004</v>
      </c>
      <c r="C9" s="18">
        <v>1.34</v>
      </c>
    </row>
    <row r="10" spans="1:3" x14ac:dyDescent="0.55000000000000004">
      <c r="B10" s="4">
        <v>2005</v>
      </c>
      <c r="C10" s="18">
        <v>1.3</v>
      </c>
    </row>
    <row r="11" spans="1:3" x14ac:dyDescent="0.55000000000000004">
      <c r="B11" s="4">
        <v>2006</v>
      </c>
      <c r="C11" s="18">
        <v>1.26</v>
      </c>
    </row>
    <row r="12" spans="1:3" x14ac:dyDescent="0.55000000000000004">
      <c r="B12" s="4">
        <v>2007</v>
      </c>
      <c r="C12" s="18">
        <v>1.23</v>
      </c>
    </row>
    <row r="13" spans="1:3" x14ac:dyDescent="0.55000000000000004">
      <c r="B13" s="4">
        <v>2008</v>
      </c>
      <c r="C13" s="18">
        <v>1.2</v>
      </c>
    </row>
    <row r="14" spans="1:3" x14ac:dyDescent="0.55000000000000004">
      <c r="B14" s="4">
        <v>2009</v>
      </c>
      <c r="C14" s="18">
        <v>1.2</v>
      </c>
    </row>
    <row r="15" spans="1:3" x14ac:dyDescent="0.55000000000000004">
      <c r="B15" s="4">
        <v>2010</v>
      </c>
      <c r="C15" s="18">
        <v>1.18</v>
      </c>
    </row>
    <row r="16" spans="1:3" x14ac:dyDescent="0.55000000000000004">
      <c r="B16" s="4">
        <v>2011</v>
      </c>
      <c r="C16" s="18">
        <v>1.1599999999999999</v>
      </c>
    </row>
    <row r="17" spans="2:3" x14ac:dyDescent="0.55000000000000004">
      <c r="B17" s="4">
        <v>2012</v>
      </c>
      <c r="C17" s="18">
        <v>1.1399999999999999</v>
      </c>
    </row>
    <row r="18" spans="2:3" x14ac:dyDescent="0.55000000000000004">
      <c r="B18" s="4">
        <v>2013</v>
      </c>
      <c r="C18" s="18">
        <v>1.1200000000000001</v>
      </c>
    </row>
    <row r="19" spans="2:3" x14ac:dyDescent="0.55000000000000004">
      <c r="B19" s="4">
        <v>2014</v>
      </c>
      <c r="C19" s="18">
        <v>1.1000000000000001</v>
      </c>
    </row>
    <row r="20" spans="2:3" x14ac:dyDescent="0.55000000000000004">
      <c r="B20" s="4">
        <v>2015</v>
      </c>
      <c r="C20" s="18">
        <v>1.0900000000000001</v>
      </c>
    </row>
    <row r="21" spans="2:3" x14ac:dyDescent="0.55000000000000004">
      <c r="B21" s="4">
        <v>2016</v>
      </c>
      <c r="C21" s="18">
        <v>1.07</v>
      </c>
    </row>
    <row r="22" spans="2:3" x14ac:dyDescent="0.55000000000000004">
      <c r="B22" s="4">
        <v>2017</v>
      </c>
      <c r="C22" s="18">
        <v>1.05</v>
      </c>
    </row>
    <row r="23" spans="2:3" x14ac:dyDescent="0.55000000000000004">
      <c r="B23" s="4">
        <v>2018</v>
      </c>
      <c r="C23" s="18">
        <v>1.03</v>
      </c>
    </row>
    <row r="24" spans="2:3" x14ac:dyDescent="0.55000000000000004">
      <c r="B24" s="21">
        <v>2019</v>
      </c>
      <c r="C24" s="24">
        <v>1.01</v>
      </c>
    </row>
    <row r="25" spans="2:3" x14ac:dyDescent="0.55000000000000004">
      <c r="B25" s="21">
        <v>2020</v>
      </c>
      <c r="C25" s="25">
        <v>1</v>
      </c>
    </row>
    <row r="26" spans="2:3" x14ac:dyDescent="0.55000000000000004">
      <c r="B26" s="5">
        <v>2021</v>
      </c>
      <c r="C26" s="6">
        <f>C25-(C25*$C$29)</f>
        <v>0.98087299999999999</v>
      </c>
    </row>
    <row r="27" spans="2:3" x14ac:dyDescent="0.55000000000000004">
      <c r="B27" s="5">
        <v>2022</v>
      </c>
      <c r="C27" s="6">
        <f>C26-(C26*$C$29)</f>
        <v>0.96211184212900003</v>
      </c>
    </row>
    <row r="28" spans="2:3" x14ac:dyDescent="0.55000000000000004">
      <c r="B28" t="s">
        <v>89</v>
      </c>
    </row>
    <row r="29" spans="2:3" x14ac:dyDescent="0.55000000000000004">
      <c r="B29" s="49" t="s">
        <v>421</v>
      </c>
      <c r="C29" s="670">
        <v>1.9127000000000002E-2</v>
      </c>
    </row>
    <row r="30" spans="2:3" ht="39" customHeight="1" x14ac:dyDescent="0.55000000000000004">
      <c r="B30" s="862" t="s">
        <v>1</v>
      </c>
      <c r="C30" s="862"/>
    </row>
  </sheetData>
  <mergeCells count="2">
    <mergeCell ref="B1:C1"/>
    <mergeCell ref="B30:C3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080A4-0944-41B6-8276-D229444CCAAD}">
  <sheetPr>
    <tabColor rgb="FF00B0F0"/>
  </sheetPr>
  <dimension ref="A1:CK110"/>
  <sheetViews>
    <sheetView showGridLines="0" workbookViewId="0">
      <selection activeCell="O38" sqref="O38"/>
    </sheetView>
  </sheetViews>
  <sheetFormatPr defaultRowHeight="14.4" x14ac:dyDescent="0.55000000000000004"/>
  <cols>
    <col min="1" max="1" width="19.578125" style="7" customWidth="1"/>
    <col min="2" max="2" width="32.578125" style="52" customWidth="1"/>
    <col min="3" max="3" width="21" style="52" bestFit="1" customWidth="1"/>
    <col min="4" max="4" width="17.15625" style="61" customWidth="1"/>
    <col min="5" max="5" width="29.15625" style="61" bestFit="1" customWidth="1"/>
    <col min="6" max="6" width="27" style="61" customWidth="1"/>
    <col min="7" max="7" width="27" style="783" customWidth="1"/>
    <col min="8" max="8" width="19" style="61" bestFit="1" customWidth="1"/>
    <col min="9" max="9" width="43.83984375" style="68" bestFit="1" customWidth="1"/>
    <col min="10" max="15" width="28.41796875" style="68" customWidth="1"/>
    <col min="16" max="16" width="30.41796875" style="68" customWidth="1"/>
    <col min="17" max="17" width="43.83984375" style="68" bestFit="1" customWidth="1"/>
    <col min="18" max="18" width="30.41796875" style="68" hidden="1" customWidth="1"/>
    <col min="19" max="19" width="30.41796875" style="69" hidden="1" customWidth="1"/>
    <col min="20" max="20" width="54.15625" style="8" customWidth="1"/>
    <col min="21" max="23" width="8.83984375" style="8" customWidth="1"/>
    <col min="24" max="24" width="9.578125" style="8" customWidth="1"/>
    <col min="25" max="33" width="8.83984375" style="8" customWidth="1"/>
    <col min="34" max="34" width="9.578125" style="8" customWidth="1"/>
    <col min="35" max="47" width="8.83984375" style="8" customWidth="1"/>
    <col min="48" max="49" width="9.578125" style="8" customWidth="1"/>
    <col min="50" max="52" width="8.83984375" style="8" customWidth="1"/>
    <col min="53" max="54" width="9.578125" style="8" customWidth="1"/>
    <col min="55" max="58" width="8.83984375" style="8" customWidth="1"/>
    <col min="59" max="59" width="9.578125" style="8" customWidth="1"/>
    <col min="60" max="64" width="8.83984375" style="8"/>
    <col min="65" max="69" width="11.578125" style="8" customWidth="1"/>
    <col min="70" max="70" width="10.41796875" customWidth="1"/>
    <col min="71" max="71" width="11.26171875" customWidth="1"/>
    <col min="80" max="84" width="8" style="70" customWidth="1"/>
    <col min="85" max="89" width="8" style="71" customWidth="1"/>
  </cols>
  <sheetData>
    <row r="1" spans="1:8" ht="14.7" thickBot="1" x14ac:dyDescent="0.6"/>
    <row r="2" spans="1:8" ht="15" thickTop="1" thickBot="1" x14ac:dyDescent="0.6">
      <c r="A2" s="898" t="s">
        <v>274</v>
      </c>
      <c r="B2" s="899"/>
      <c r="C2" s="899"/>
      <c r="D2" s="899"/>
      <c r="E2" s="899"/>
      <c r="F2" s="900"/>
      <c r="G2" s="784"/>
    </row>
    <row r="3" spans="1:8" ht="29.4" thickTop="1" thickBot="1" x14ac:dyDescent="0.6">
      <c r="A3" s="273" t="s">
        <v>105</v>
      </c>
      <c r="B3" s="274" t="s">
        <v>239</v>
      </c>
      <c r="C3" s="275" t="s">
        <v>240</v>
      </c>
      <c r="D3" s="275" t="s">
        <v>241</v>
      </c>
      <c r="E3" s="275" t="s">
        <v>242</v>
      </c>
      <c r="F3" s="276" t="s">
        <v>243</v>
      </c>
      <c r="G3" s="785"/>
    </row>
    <row r="4" spans="1:8" s="64" customFormat="1" ht="14.7" thickTop="1" x14ac:dyDescent="0.55000000000000004">
      <c r="A4" s="269">
        <v>1</v>
      </c>
      <c r="B4" s="265">
        <v>2907</v>
      </c>
      <c r="C4" s="266">
        <v>0.59</v>
      </c>
      <c r="D4" s="266">
        <f t="shared" ref="D4:D12" si="0">C4*2.59</f>
        <v>1.5280999999999998</v>
      </c>
      <c r="E4" s="265">
        <f t="shared" ref="E4:E12" si="1">B4/C4</f>
        <v>4927.1186440677966</v>
      </c>
      <c r="F4" s="271">
        <f t="shared" ref="F4:F12" si="2">B4/D4</f>
        <v>1902.3624108369875</v>
      </c>
      <c r="G4" s="101"/>
    </row>
    <row r="5" spans="1:8" s="64" customFormat="1" x14ac:dyDescent="0.55000000000000004">
      <c r="A5" s="270">
        <v>8</v>
      </c>
      <c r="B5" s="267">
        <v>3502</v>
      </c>
      <c r="C5" s="268">
        <v>1.1299999999999999</v>
      </c>
      <c r="D5" s="268">
        <f t="shared" si="0"/>
        <v>2.9266999999999994</v>
      </c>
      <c r="E5" s="267">
        <f t="shared" si="1"/>
        <v>3099.1150442477879</v>
      </c>
      <c r="F5" s="272">
        <f t="shared" si="2"/>
        <v>1196.5695151535863</v>
      </c>
      <c r="G5" s="101"/>
    </row>
    <row r="6" spans="1:8" s="64" customFormat="1" x14ac:dyDescent="0.55000000000000004">
      <c r="A6" s="270">
        <v>19</v>
      </c>
      <c r="B6" s="267">
        <v>1555</v>
      </c>
      <c r="C6" s="268">
        <v>0.85</v>
      </c>
      <c r="D6" s="268">
        <f t="shared" si="0"/>
        <v>2.2014999999999998</v>
      </c>
      <c r="E6" s="267">
        <f t="shared" si="1"/>
        <v>1829.4117647058824</v>
      </c>
      <c r="F6" s="272">
        <f t="shared" si="2"/>
        <v>706.33658868952989</v>
      </c>
      <c r="G6" s="101"/>
    </row>
    <row r="7" spans="1:8" s="64" customFormat="1" x14ac:dyDescent="0.55000000000000004">
      <c r="A7" s="270">
        <v>20</v>
      </c>
      <c r="B7" s="267">
        <v>3114</v>
      </c>
      <c r="C7" s="268">
        <v>0.93</v>
      </c>
      <c r="D7" s="268">
        <f t="shared" si="0"/>
        <v>2.4087000000000001</v>
      </c>
      <c r="E7" s="267">
        <f t="shared" si="1"/>
        <v>3348.3870967741932</v>
      </c>
      <c r="F7" s="272">
        <f t="shared" si="2"/>
        <v>1292.813550878067</v>
      </c>
      <c r="G7" s="101"/>
    </row>
    <row r="8" spans="1:8" s="64" customFormat="1" x14ac:dyDescent="0.55000000000000004">
      <c r="A8" s="270">
        <v>21</v>
      </c>
      <c r="B8" s="267">
        <v>2857</v>
      </c>
      <c r="C8" s="268">
        <v>3.51</v>
      </c>
      <c r="D8" s="268">
        <f t="shared" si="0"/>
        <v>9.0908999999999995</v>
      </c>
      <c r="E8" s="267">
        <f t="shared" si="1"/>
        <v>813.96011396011397</v>
      </c>
      <c r="F8" s="272">
        <f t="shared" si="2"/>
        <v>314.27031427031426</v>
      </c>
      <c r="G8" s="101"/>
    </row>
    <row r="9" spans="1:8" s="64" customFormat="1" x14ac:dyDescent="0.55000000000000004">
      <c r="A9" s="270">
        <v>22</v>
      </c>
      <c r="B9" s="267">
        <v>3658</v>
      </c>
      <c r="C9" s="268">
        <v>2.76</v>
      </c>
      <c r="D9" s="268">
        <f t="shared" si="0"/>
        <v>7.1483999999999988</v>
      </c>
      <c r="E9" s="267">
        <f t="shared" si="1"/>
        <v>1325.3623188405797</v>
      </c>
      <c r="F9" s="272">
        <f t="shared" si="2"/>
        <v>511.72290302725094</v>
      </c>
      <c r="G9" s="101"/>
    </row>
    <row r="10" spans="1:8" s="64" customFormat="1" x14ac:dyDescent="0.55000000000000004">
      <c r="A10" s="270">
        <v>23</v>
      </c>
      <c r="B10" s="267">
        <v>3261</v>
      </c>
      <c r="C10" s="268">
        <v>1.93</v>
      </c>
      <c r="D10" s="268">
        <f t="shared" si="0"/>
        <v>4.9986999999999995</v>
      </c>
      <c r="E10" s="267">
        <f t="shared" si="1"/>
        <v>1689.6373056994819</v>
      </c>
      <c r="F10" s="272">
        <f t="shared" si="2"/>
        <v>652.36961610018614</v>
      </c>
      <c r="G10" s="101"/>
    </row>
    <row r="11" spans="1:8" s="64" customFormat="1" x14ac:dyDescent="0.55000000000000004">
      <c r="A11" s="270">
        <v>67</v>
      </c>
      <c r="B11" s="267">
        <v>2922</v>
      </c>
      <c r="C11" s="268">
        <v>1.1000000000000001</v>
      </c>
      <c r="D11" s="268">
        <f t="shared" si="0"/>
        <v>2.8490000000000002</v>
      </c>
      <c r="E11" s="267">
        <f t="shared" si="1"/>
        <v>2656.363636363636</v>
      </c>
      <c r="F11" s="272">
        <f t="shared" si="2"/>
        <v>1025.6230256230256</v>
      </c>
      <c r="G11" s="101"/>
    </row>
    <row r="12" spans="1:8" ht="14.7" thickBot="1" x14ac:dyDescent="0.6">
      <c r="A12" s="277">
        <v>68</v>
      </c>
      <c r="B12" s="278">
        <v>4483</v>
      </c>
      <c r="C12" s="279">
        <v>1.4</v>
      </c>
      <c r="D12" s="268">
        <f t="shared" si="0"/>
        <v>3.6259999999999994</v>
      </c>
      <c r="E12" s="278">
        <f t="shared" si="1"/>
        <v>3202.1428571428573</v>
      </c>
      <c r="F12" s="272">
        <f t="shared" si="2"/>
        <v>1236.3485934914509</v>
      </c>
      <c r="G12" s="101"/>
    </row>
    <row r="13" spans="1:8" ht="15" thickTop="1" thickBot="1" x14ac:dyDescent="0.6">
      <c r="A13" s="59"/>
      <c r="B13" s="310">
        <f>SUM(Table1[TOTAL CENSUS TRACT POPULATION])</f>
        <v>28259</v>
      </c>
      <c r="D13" s="280">
        <f>SUM(D4:D12)</f>
        <v>36.777999999999992</v>
      </c>
      <c r="E13" s="263"/>
      <c r="F13" s="280">
        <f>SUM(B4:B12)/D13</f>
        <v>768.3669585078037</v>
      </c>
      <c r="G13" s="784"/>
    </row>
    <row r="14" spans="1:8" ht="29.4" thickTop="1" thickBot="1" x14ac:dyDescent="0.6">
      <c r="A14" s="72"/>
      <c r="B14" s="236"/>
      <c r="C14" s="281"/>
      <c r="D14" s="282"/>
      <c r="E14" s="264"/>
      <c r="F14" s="292" t="s">
        <v>246</v>
      </c>
      <c r="G14" s="786"/>
      <c r="H14" s="262"/>
    </row>
    <row r="15" spans="1:8" ht="14.7" thickTop="1" x14ac:dyDescent="0.55000000000000004">
      <c r="A15" s="72"/>
      <c r="B15" s="72"/>
      <c r="C15" s="72"/>
      <c r="D15" s="262"/>
      <c r="E15" s="262"/>
      <c r="F15" s="62"/>
      <c r="G15" s="282"/>
      <c r="H15" s="262"/>
    </row>
    <row r="16" spans="1:8" ht="14.7" thickBot="1" x14ac:dyDescent="0.6">
      <c r="A16" s="72"/>
      <c r="B16" s="60"/>
      <c r="C16" s="60"/>
      <c r="D16" s="63"/>
      <c r="E16" s="63"/>
      <c r="F16" s="63"/>
      <c r="G16" s="787"/>
      <c r="H16" s="63"/>
    </row>
    <row r="17" spans="1:16" ht="15" thickTop="1" thickBot="1" x14ac:dyDescent="0.6">
      <c r="A17" s="72"/>
      <c r="B17" s="60"/>
      <c r="C17" s="908" t="s">
        <v>149</v>
      </c>
      <c r="D17" s="909"/>
      <c r="E17" s="63"/>
      <c r="F17" s="63"/>
      <c r="G17" s="787"/>
      <c r="H17" s="63"/>
    </row>
    <row r="18" spans="1:16" ht="15" thickTop="1" thickBot="1" x14ac:dyDescent="0.6">
      <c r="A18" s="906" t="s">
        <v>134</v>
      </c>
      <c r="B18" s="907"/>
      <c r="C18" s="816" t="s">
        <v>143</v>
      </c>
      <c r="D18" s="855"/>
      <c r="F18" s="7"/>
      <c r="G18" s="65"/>
    </row>
    <row r="19" spans="1:16" ht="15" thickTop="1" thickBot="1" x14ac:dyDescent="0.6">
      <c r="A19" s="80" t="s">
        <v>142</v>
      </c>
      <c r="B19" s="81" t="s">
        <v>141</v>
      </c>
      <c r="C19" s="74" t="s">
        <v>132</v>
      </c>
      <c r="D19" s="75" t="s">
        <v>131</v>
      </c>
      <c r="E19" s="103" t="s">
        <v>147</v>
      </c>
      <c r="F19" s="94" t="s">
        <v>148</v>
      </c>
      <c r="G19" s="788"/>
      <c r="I19" s="68" t="s">
        <v>415</v>
      </c>
    </row>
    <row r="20" spans="1:16" ht="15" thickTop="1" thickBot="1" x14ac:dyDescent="0.6">
      <c r="A20" s="76" t="s">
        <v>128</v>
      </c>
      <c r="B20" s="77" t="s">
        <v>129</v>
      </c>
      <c r="C20" s="84">
        <f>3.098*C$26</f>
        <v>0.22181679999999998</v>
      </c>
      <c r="D20" s="85">
        <f>2.933*D$26</f>
        <v>5.9539899999999993E-2</v>
      </c>
      <c r="E20" s="104">
        <v>0.82</v>
      </c>
      <c r="H20" s="319" t="s">
        <v>285</v>
      </c>
      <c r="I20" s="195" t="s">
        <v>186</v>
      </c>
      <c r="J20" s="190" t="s">
        <v>312</v>
      </c>
      <c r="K20" s="190" t="s">
        <v>129</v>
      </c>
      <c r="L20" s="190" t="s">
        <v>133</v>
      </c>
      <c r="M20" s="190" t="s">
        <v>130</v>
      </c>
      <c r="N20" s="191" t="s">
        <v>139</v>
      </c>
    </row>
    <row r="21" spans="1:16" ht="15" thickTop="1" thickBot="1" x14ac:dyDescent="0.6">
      <c r="A21" s="76" t="s">
        <v>129</v>
      </c>
      <c r="B21" s="77" t="s">
        <v>130</v>
      </c>
      <c r="C21" s="84">
        <f>1.653*C$26</f>
        <v>0.1183548</v>
      </c>
      <c r="D21" s="85">
        <f>2.108*D$26</f>
        <v>4.2792400000000001E-2</v>
      </c>
      <c r="E21" s="177" t="s">
        <v>178</v>
      </c>
      <c r="F21" s="94" t="s">
        <v>177</v>
      </c>
      <c r="G21" s="788"/>
      <c r="H21" s="322">
        <f>SUM(J21:N21)</f>
        <v>22.507000000000001</v>
      </c>
      <c r="I21" s="196" t="s">
        <v>187</v>
      </c>
      <c r="J21" s="194">
        <v>4.57</v>
      </c>
      <c r="K21" s="192">
        <f>8.27-4.57</f>
        <v>3.6999999999999993</v>
      </c>
      <c r="L21" s="192">
        <v>4.0999999999999996</v>
      </c>
      <c r="M21" s="192">
        <v>4.7149999999999999</v>
      </c>
      <c r="N21" s="193">
        <v>5.4219999999999997</v>
      </c>
    </row>
    <row r="22" spans="1:16" ht="15" thickTop="1" thickBot="1" x14ac:dyDescent="0.6">
      <c r="A22" s="76" t="s">
        <v>133</v>
      </c>
      <c r="B22" s="77" t="s">
        <v>138</v>
      </c>
      <c r="C22" s="84">
        <f>1.448*C$26</f>
        <v>0.10367679999999999</v>
      </c>
      <c r="D22" s="85">
        <f>2.11*D$26</f>
        <v>4.2832999999999996E-2</v>
      </c>
      <c r="E22" s="179">
        <v>2.0299999999999999E-2</v>
      </c>
      <c r="I22" s="197" t="s">
        <v>192</v>
      </c>
      <c r="J22" s="601">
        <f>J21*$F$13*C20</f>
        <v>778.89571882603741</v>
      </c>
      <c r="K22" s="602">
        <f>K21*$F$13*C21</f>
        <v>336.47769549295771</v>
      </c>
      <c r="L22" s="602">
        <f>L21*$F$13*C22</f>
        <v>326.61349268366956</v>
      </c>
      <c r="M22" s="602">
        <f>M21*$F$13*C23</f>
        <v>259.39607499048344</v>
      </c>
      <c r="N22" s="603">
        <f>N21*$F$13*C24</f>
        <v>298.29173247049869</v>
      </c>
    </row>
    <row r="23" spans="1:16" ht="14.7" thickBot="1" x14ac:dyDescent="0.6">
      <c r="A23" s="76" t="s">
        <v>130</v>
      </c>
      <c r="B23" s="77" t="s">
        <v>139</v>
      </c>
      <c r="C23" s="84">
        <f>C26</f>
        <v>7.1599999999999997E-2</v>
      </c>
      <c r="D23" s="85">
        <f>1.39*D$26</f>
        <v>2.8216999999999996E-2</v>
      </c>
      <c r="E23" s="178" t="s">
        <v>179</v>
      </c>
      <c r="F23" s="94" t="s">
        <v>177</v>
      </c>
      <c r="G23" s="788"/>
      <c r="I23" s="198" t="s">
        <v>193</v>
      </c>
      <c r="J23" s="604">
        <f>J21*$F$13*D20</f>
        <v>209.07060785896462</v>
      </c>
      <c r="K23" s="605">
        <f>K21*$F$13*D21</f>
        <v>121.65698507042254</v>
      </c>
      <c r="L23" s="605">
        <f>L21*$F$13*D22</f>
        <v>134.93699392843547</v>
      </c>
      <c r="M23" s="605">
        <f>M21*$F$13*D23</f>
        <v>102.22596435763228</v>
      </c>
      <c r="N23" s="606">
        <f>N21*$F$13*D24</f>
        <v>84.571538675295017</v>
      </c>
    </row>
    <row r="24" spans="1:16" ht="15" thickTop="1" thickBot="1" x14ac:dyDescent="0.6">
      <c r="A24" s="78" t="s">
        <v>139</v>
      </c>
      <c r="B24" s="79" t="s">
        <v>140</v>
      </c>
      <c r="C24" s="86">
        <f>C26</f>
        <v>7.1599999999999997E-2</v>
      </c>
      <c r="D24" s="87">
        <f>D26</f>
        <v>2.0299999999999999E-2</v>
      </c>
      <c r="E24" s="180">
        <f>D36</f>
        <v>7.1599999999999997E-2</v>
      </c>
      <c r="I24" s="208" t="s">
        <v>204</v>
      </c>
      <c r="J24" s="607">
        <f>J21*$F$13</f>
        <v>3511.437000380663</v>
      </c>
      <c r="K24" s="608">
        <f>K21*$F$13</f>
        <v>2842.9577464788731</v>
      </c>
      <c r="L24" s="608">
        <f>L21*$F$13</f>
        <v>3150.3045298819948</v>
      </c>
      <c r="M24" s="608">
        <f>M21*$F$13</f>
        <v>3622.8502093642942</v>
      </c>
      <c r="N24" s="609">
        <f>N21*$F$13</f>
        <v>4166.0856490293118</v>
      </c>
    </row>
    <row r="25" spans="1:16" ht="15" thickTop="1" thickBot="1" x14ac:dyDescent="0.6">
      <c r="A25" s="805" t="s">
        <v>180</v>
      </c>
      <c r="B25" s="807"/>
      <c r="C25" s="82">
        <f>INT(SUM(J22:N22))</f>
        <v>1999</v>
      </c>
      <c r="D25" s="83">
        <f>SUM(J23:N23)</f>
        <v>652.46208989074989</v>
      </c>
      <c r="E25" s="97"/>
      <c r="I25" s="209" t="s">
        <v>205</v>
      </c>
      <c r="J25" s="610">
        <f>J24</f>
        <v>3511.437000380663</v>
      </c>
      <c r="K25" s="611">
        <f>J25+K24</f>
        <v>6354.3947468595361</v>
      </c>
      <c r="L25" s="611">
        <f>K25+L24</f>
        <v>9504.6992767415304</v>
      </c>
      <c r="M25" s="611">
        <f>L25+M24</f>
        <v>13127.549486105825</v>
      </c>
      <c r="N25" s="612">
        <f>M25+N24</f>
        <v>17293.635135135137</v>
      </c>
    </row>
    <row r="26" spans="1:16" ht="14.7" hidden="1" thickTop="1" x14ac:dyDescent="0.55000000000000004">
      <c r="A26" s="175"/>
      <c r="B26" s="175" t="s">
        <v>177</v>
      </c>
      <c r="C26" s="98">
        <f>E24</f>
        <v>7.1599999999999997E-2</v>
      </c>
      <c r="D26" s="98">
        <f>E22</f>
        <v>2.0299999999999999E-2</v>
      </c>
    </row>
    <row r="27" spans="1:16" ht="14.7" thickTop="1" x14ac:dyDescent="0.55000000000000004">
      <c r="A27" s="499" t="s">
        <v>447</v>
      </c>
      <c r="M27" s="207"/>
      <c r="N27" s="207"/>
      <c r="O27" s="207"/>
    </row>
    <row r="28" spans="1:16" x14ac:dyDescent="0.55000000000000004">
      <c r="N28" s="295"/>
      <c r="O28" s="295"/>
      <c r="P28" s="295"/>
    </row>
    <row r="29" spans="1:16" x14ac:dyDescent="0.55000000000000004">
      <c r="A29" s="66"/>
      <c r="B29" s="67"/>
      <c r="C29" s="67"/>
      <c r="N29" s="295"/>
      <c r="O29" s="295"/>
      <c r="P29" s="295"/>
    </row>
    <row r="30" spans="1:16" x14ac:dyDescent="0.55000000000000004">
      <c r="A30" s="66"/>
      <c r="B30" s="67"/>
      <c r="C30" s="67"/>
      <c r="N30" s="295"/>
      <c r="O30" s="295"/>
      <c r="P30" s="295"/>
    </row>
    <row r="31" spans="1:16" ht="14.7" thickBot="1" x14ac:dyDescent="0.6">
      <c r="M31" s="69"/>
      <c r="N31" s="295"/>
      <c r="O31" s="295"/>
      <c r="P31" s="295"/>
    </row>
    <row r="32" spans="1:16" ht="15" thickTop="1" thickBot="1" x14ac:dyDescent="0.6">
      <c r="A32" s="66"/>
      <c r="B32" s="67"/>
      <c r="C32" s="67"/>
      <c r="E32" s="182" t="s">
        <v>185</v>
      </c>
      <c r="M32" s="615"/>
      <c r="N32" s="613"/>
      <c r="O32" s="614"/>
      <c r="P32" s="296"/>
    </row>
    <row r="33" spans="1:16" ht="14.7" thickBot="1" x14ac:dyDescent="0.6">
      <c r="A33" s="66"/>
      <c r="B33" s="67"/>
      <c r="C33" s="67"/>
      <c r="E33" s="183">
        <v>0.4758130153225521</v>
      </c>
      <c r="F33" s="93" t="s">
        <v>148</v>
      </c>
      <c r="G33" s="789"/>
      <c r="M33" s="615"/>
      <c r="N33" s="613"/>
      <c r="O33" s="614"/>
      <c r="P33" s="296"/>
    </row>
    <row r="34" spans="1:16" ht="15" thickTop="1" thickBot="1" x14ac:dyDescent="0.6">
      <c r="C34" s="713" t="s">
        <v>313</v>
      </c>
      <c r="D34" s="365" t="s">
        <v>152</v>
      </c>
      <c r="E34" s="366" t="s">
        <v>153</v>
      </c>
      <c r="M34" s="621"/>
      <c r="N34" s="889"/>
      <c r="O34" s="890"/>
    </row>
    <row r="35" spans="1:16" ht="15" thickTop="1" thickBot="1" x14ac:dyDescent="0.6">
      <c r="A35" s="107" t="s">
        <v>150</v>
      </c>
      <c r="B35" s="108"/>
      <c r="C35" s="320">
        <f>$H$21*$F$13*$E$33</f>
        <v>8228.5366795366826</v>
      </c>
      <c r="D35" s="321">
        <f>E22</f>
        <v>2.0299999999999999E-2</v>
      </c>
      <c r="E35" s="105">
        <f>C35*D35</f>
        <v>167.03929459459465</v>
      </c>
      <c r="F35" s="111"/>
      <c r="G35" s="790"/>
      <c r="M35" s="622"/>
      <c r="N35" s="891"/>
      <c r="O35" s="892"/>
    </row>
    <row r="36" spans="1:16" ht="14.7" thickBot="1" x14ac:dyDescent="0.6">
      <c r="A36" s="110" t="s">
        <v>151</v>
      </c>
      <c r="B36" s="109"/>
      <c r="C36" s="370">
        <f>$H$21*$F$13*$E$33</f>
        <v>8228.5366795366826</v>
      </c>
      <c r="D36" s="371">
        <v>7.1599999999999997E-2</v>
      </c>
      <c r="E36" s="106">
        <f>C36*D36</f>
        <v>589.16322625482644</v>
      </c>
      <c r="F36" s="111"/>
      <c r="G36" s="790"/>
      <c r="M36" s="615"/>
      <c r="N36" s="615"/>
      <c r="O36" s="615"/>
    </row>
    <row r="37" spans="1:16" ht="14.7" thickTop="1" x14ac:dyDescent="0.55000000000000004">
      <c r="F37" s="111"/>
      <c r="G37" s="790"/>
      <c r="M37" s="615"/>
      <c r="N37" s="615"/>
      <c r="O37" s="615"/>
    </row>
    <row r="38" spans="1:16" x14ac:dyDescent="0.55000000000000004">
      <c r="F38" s="111"/>
      <c r="G38" s="790"/>
      <c r="M38" s="622"/>
      <c r="N38" s="623"/>
      <c r="O38" s="614"/>
    </row>
    <row r="39" spans="1:16" x14ac:dyDescent="0.55000000000000004">
      <c r="E39" s="176"/>
      <c r="F39" s="111"/>
      <c r="G39" s="790"/>
      <c r="M39" s="615"/>
      <c r="N39" s="615"/>
      <c r="O39" s="615"/>
    </row>
    <row r="40" spans="1:16" ht="14.7" thickBot="1" x14ac:dyDescent="0.6">
      <c r="A40" s="362" t="s">
        <v>316</v>
      </c>
      <c r="C40" s="212" t="s">
        <v>317</v>
      </c>
      <c r="D40" s="97" t="s">
        <v>318</v>
      </c>
      <c r="E40" s="176" t="s">
        <v>315</v>
      </c>
      <c r="F40" s="111"/>
      <c r="G40" s="790"/>
      <c r="M40" s="69"/>
      <c r="N40" s="69"/>
      <c r="O40" s="69"/>
    </row>
    <row r="41" spans="1:16" ht="15" thickTop="1" thickBot="1" x14ac:dyDescent="0.6">
      <c r="A41" s="912" t="s">
        <v>320</v>
      </c>
      <c r="B41" s="913"/>
      <c r="C41" s="367">
        <f>H21*F13</f>
        <v>17293.63513513514</v>
      </c>
      <c r="D41" s="368">
        <v>6.8000000000000005E-2</v>
      </c>
      <c r="E41" s="369">
        <f>H21*F13*D41</f>
        <v>1175.9671891891896</v>
      </c>
      <c r="F41" s="111" t="s">
        <v>319</v>
      </c>
      <c r="G41" s="790"/>
    </row>
    <row r="42" spans="1:16" ht="14.7" thickTop="1" x14ac:dyDescent="0.55000000000000004">
      <c r="D42" s="102"/>
      <c r="E42" s="176"/>
      <c r="F42" s="111"/>
      <c r="G42" s="790"/>
    </row>
    <row r="43" spans="1:16" ht="14.7" thickBot="1" x14ac:dyDescent="0.6">
      <c r="C43" s="212" t="s">
        <v>314</v>
      </c>
      <c r="D43" s="97"/>
      <c r="E43" s="97" t="s">
        <v>276</v>
      </c>
      <c r="F43" s="111"/>
      <c r="G43" s="790"/>
    </row>
    <row r="44" spans="1:16" ht="14.7" thickTop="1" x14ac:dyDescent="0.55000000000000004">
      <c r="A44" s="910" t="s">
        <v>321</v>
      </c>
      <c r="B44" s="911"/>
      <c r="C44" s="373">
        <f>E41</f>
        <v>1175.9671891891896</v>
      </c>
      <c r="D44" s="379">
        <f>$E$22</f>
        <v>2.0299999999999999E-2</v>
      </c>
      <c r="E44" s="380">
        <f>C44*D44</f>
        <v>23.872133940540547</v>
      </c>
      <c r="F44" s="111"/>
      <c r="G44" s="790"/>
    </row>
    <row r="45" spans="1:16" x14ac:dyDescent="0.55000000000000004">
      <c r="F45" s="111"/>
      <c r="G45" s="790"/>
    </row>
    <row r="46" spans="1:16" x14ac:dyDescent="0.55000000000000004">
      <c r="F46" s="111"/>
      <c r="G46" s="790"/>
    </row>
    <row r="47" spans="1:16" x14ac:dyDescent="0.55000000000000004">
      <c r="F47" s="111"/>
      <c r="G47" s="790"/>
      <c r="I47" s="293"/>
      <c r="J47" s="293"/>
      <c r="K47" s="293"/>
      <c r="L47" s="293"/>
    </row>
    <row r="48" spans="1:16" x14ac:dyDescent="0.55000000000000004">
      <c r="F48" s="111"/>
      <c r="G48" s="790"/>
      <c r="I48" s="293"/>
      <c r="J48" s="293"/>
      <c r="K48" s="293"/>
      <c r="L48" s="293"/>
    </row>
    <row r="49" spans="1:12" x14ac:dyDescent="0.55000000000000004">
      <c r="A49" s="376"/>
      <c r="B49" s="377"/>
      <c r="C49" s="101"/>
      <c r="D49" s="102"/>
      <c r="E49" s="378"/>
      <c r="F49" s="111"/>
      <c r="G49" s="790"/>
      <c r="I49" s="293"/>
      <c r="J49" s="293"/>
      <c r="K49" s="293"/>
      <c r="L49" s="293"/>
    </row>
    <row r="50" spans="1:12" x14ac:dyDescent="0.55000000000000004">
      <c r="A50" s="376"/>
      <c r="B50" s="377"/>
      <c r="C50" s="101"/>
      <c r="D50" s="102"/>
      <c r="E50" s="378"/>
      <c r="F50" s="111"/>
      <c r="G50" s="790"/>
      <c r="I50" s="293"/>
      <c r="J50" s="293"/>
      <c r="K50" s="293"/>
      <c r="L50" s="293"/>
    </row>
    <row r="51" spans="1:12" ht="14.7" thickBot="1" x14ac:dyDescent="0.6">
      <c r="A51" s="100"/>
      <c r="B51" s="101"/>
      <c r="C51" s="101"/>
      <c r="D51" s="102"/>
      <c r="E51" s="99" t="s">
        <v>223</v>
      </c>
      <c r="F51" s="111"/>
      <c r="G51" s="790"/>
      <c r="I51" s="293"/>
      <c r="J51" s="293"/>
      <c r="K51" s="293"/>
      <c r="L51" s="293"/>
    </row>
    <row r="52" spans="1:12" ht="14.7" thickTop="1" x14ac:dyDescent="0.55000000000000004">
      <c r="A52" s="902" t="s">
        <v>218</v>
      </c>
      <c r="B52" s="903"/>
      <c r="C52" s="903"/>
      <c r="D52" s="903"/>
      <c r="E52" s="710">
        <f>D25-E35</f>
        <v>485.42279529615524</v>
      </c>
      <c r="H52" s="97"/>
      <c r="I52" s="293"/>
      <c r="J52" s="293"/>
      <c r="K52" s="293"/>
      <c r="L52" s="293"/>
    </row>
    <row r="53" spans="1:12" ht="14.7" thickBot="1" x14ac:dyDescent="0.6">
      <c r="A53" s="904" t="s">
        <v>220</v>
      </c>
      <c r="B53" s="905"/>
      <c r="C53" s="905"/>
      <c r="D53" s="905"/>
      <c r="E53" s="711">
        <f>D25*0.59</f>
        <v>384.95263303554242</v>
      </c>
      <c r="I53" s="293"/>
      <c r="J53" s="293"/>
      <c r="K53" s="293"/>
      <c r="L53" s="293"/>
    </row>
    <row r="54" spans="1:12" ht="14.7" hidden="1" thickTop="1" x14ac:dyDescent="0.55000000000000004">
      <c r="A54" s="902" t="s">
        <v>219</v>
      </c>
      <c r="B54" s="903"/>
      <c r="C54" s="903"/>
      <c r="D54" s="903"/>
      <c r="E54" s="710">
        <f>C25-E36</f>
        <v>1409.8367737451736</v>
      </c>
      <c r="F54" s="93" t="s">
        <v>237</v>
      </c>
      <c r="G54" s="789"/>
      <c r="I54" s="293"/>
      <c r="J54" s="293"/>
      <c r="K54" s="293"/>
      <c r="L54" s="293"/>
    </row>
    <row r="55" spans="1:12" ht="15" thickTop="1" thickBot="1" x14ac:dyDescent="0.6">
      <c r="A55" s="904" t="s">
        <v>221</v>
      </c>
      <c r="B55" s="905"/>
      <c r="C55" s="905"/>
      <c r="D55" s="905"/>
      <c r="E55" s="712">
        <f>C25*0.68</f>
        <v>1359.3200000000002</v>
      </c>
      <c r="I55" s="293"/>
      <c r="J55" s="293"/>
      <c r="K55" s="293"/>
      <c r="L55" s="293"/>
    </row>
    <row r="56" spans="1:12" ht="15" hidden="1" thickTop="1" thickBot="1" x14ac:dyDescent="0.6">
      <c r="A56" s="707" t="s">
        <v>323</v>
      </c>
      <c r="B56" s="708"/>
      <c r="C56" s="708"/>
      <c r="D56" s="706"/>
      <c r="E56" s="709">
        <f>260070/365/2</f>
        <v>356.26027397260276</v>
      </c>
      <c r="F56" s="93" t="s">
        <v>238</v>
      </c>
      <c r="G56" s="789"/>
    </row>
    <row r="57" spans="1:12" ht="15" thickTop="1" thickBot="1" x14ac:dyDescent="0.6">
      <c r="F57" s="93" t="s">
        <v>324</v>
      </c>
      <c r="G57" s="789"/>
      <c r="I57" s="207"/>
      <c r="J57" s="372"/>
      <c r="K57" s="372"/>
      <c r="L57" s="372"/>
    </row>
    <row r="58" spans="1:12" ht="15" thickTop="1" thickBot="1" x14ac:dyDescent="0.6">
      <c r="A58" s="707" t="s">
        <v>322</v>
      </c>
      <c r="B58" s="708"/>
      <c r="C58" s="708"/>
      <c r="D58" s="706"/>
      <c r="E58" s="709">
        <f>'MOBILITY Ped &amp; Bike UW '!E3</f>
        <v>6.5680663128089352</v>
      </c>
    </row>
    <row r="59" spans="1:12" ht="14.7" thickTop="1" x14ac:dyDescent="0.55000000000000004"/>
    <row r="60" spans="1:12" x14ac:dyDescent="0.55000000000000004">
      <c r="A60" s="95" t="s">
        <v>144</v>
      </c>
    </row>
    <row r="61" spans="1:12" x14ac:dyDescent="0.55000000000000004">
      <c r="A61" s="96" t="s">
        <v>145</v>
      </c>
    </row>
    <row r="62" spans="1:12" x14ac:dyDescent="0.55000000000000004">
      <c r="A62" s="94" t="s">
        <v>146</v>
      </c>
    </row>
    <row r="64" spans="1:12" ht="14.7" thickBot="1" x14ac:dyDescent="0.6"/>
    <row r="65" spans="1:5" ht="15" thickTop="1" thickBot="1" x14ac:dyDescent="0.6">
      <c r="A65" s="914" t="s">
        <v>188</v>
      </c>
      <c r="B65" s="915"/>
    </row>
    <row r="66" spans="1:5" ht="15" thickTop="1" thickBot="1" x14ac:dyDescent="0.6">
      <c r="A66" s="187" t="s">
        <v>189</v>
      </c>
      <c r="B66" s="184">
        <f>D35*C35</f>
        <v>167.03929459459465</v>
      </c>
      <c r="C66" s="181" t="s">
        <v>181</v>
      </c>
    </row>
    <row r="67" spans="1:5" ht="14.7" thickBot="1" x14ac:dyDescent="0.6">
      <c r="A67" s="188" t="s">
        <v>190</v>
      </c>
      <c r="B67" s="185">
        <f>(1.2*D35)*C35</f>
        <v>200.44715351351357</v>
      </c>
      <c r="C67" s="101"/>
    </row>
    <row r="68" spans="1:5" ht="14.7" thickBot="1" x14ac:dyDescent="0.6">
      <c r="A68" s="189" t="s">
        <v>191</v>
      </c>
      <c r="B68" s="186">
        <f>(C35*3+0.01)*D35</f>
        <v>501.11808678378389</v>
      </c>
      <c r="C68" s="101"/>
    </row>
    <row r="69" spans="1:5" ht="14.7" thickTop="1" x14ac:dyDescent="0.55000000000000004"/>
    <row r="70" spans="1:5" x14ac:dyDescent="0.55000000000000004">
      <c r="A70" s="94"/>
      <c r="B70" s="374"/>
      <c r="C70" s="374"/>
      <c r="D70" s="93"/>
      <c r="E70" s="93"/>
    </row>
    <row r="74" spans="1:5" x14ac:dyDescent="0.55000000000000004">
      <c r="A74" s="94"/>
      <c r="B74" s="374"/>
      <c r="C74" s="67"/>
      <c r="D74" s="93"/>
      <c r="E74" s="93"/>
    </row>
    <row r="75" spans="1:5" x14ac:dyDescent="0.55000000000000004">
      <c r="A75" s="901" t="s">
        <v>273</v>
      </c>
      <c r="B75" s="901"/>
      <c r="C75" s="311">
        <v>6.8000000000000005E-2</v>
      </c>
      <c r="D75" s="212">
        <f>C75*H21*F13</f>
        <v>1175.9671891891894</v>
      </c>
      <c r="E75" s="93"/>
    </row>
    <row r="76" spans="1:5" x14ac:dyDescent="0.55000000000000004">
      <c r="A76" s="303" t="s">
        <v>284</v>
      </c>
      <c r="B76" s="67"/>
      <c r="C76" s="318">
        <v>0.81799999999999995</v>
      </c>
      <c r="D76" s="212">
        <f>H21*F13*C76</f>
        <v>14146.193540540544</v>
      </c>
      <c r="E76" s="93"/>
    </row>
    <row r="77" spans="1:5" x14ac:dyDescent="0.55000000000000004">
      <c r="A77" s="500"/>
      <c r="B77" s="67"/>
      <c r="C77" s="318"/>
      <c r="D77" s="212"/>
      <c r="E77" s="93"/>
    </row>
    <row r="78" spans="1:5" x14ac:dyDescent="0.55000000000000004">
      <c r="A78" s="500"/>
      <c r="B78" s="67"/>
      <c r="C78" s="318"/>
      <c r="D78" s="212"/>
      <c r="E78" s="93"/>
    </row>
    <row r="79" spans="1:5" x14ac:dyDescent="0.55000000000000004">
      <c r="A79" s="500"/>
      <c r="B79" s="67"/>
      <c r="C79" s="318"/>
      <c r="D79" s="212"/>
      <c r="E79" s="93"/>
    </row>
    <row r="80" spans="1:5" x14ac:dyDescent="0.55000000000000004">
      <c r="A80" s="500"/>
      <c r="B80" s="67"/>
      <c r="C80" s="318"/>
      <c r="D80" s="212"/>
      <c r="E80" s="93"/>
    </row>
    <row r="81" spans="1:12" x14ac:dyDescent="0.55000000000000004">
      <c r="A81" s="888" t="s">
        <v>325</v>
      </c>
      <c r="B81" s="888"/>
      <c r="C81" s="67">
        <v>466</v>
      </c>
      <c r="D81" s="374" t="s">
        <v>326</v>
      </c>
      <c r="E81" s="93"/>
    </row>
    <row r="82" spans="1:12" x14ac:dyDescent="0.55000000000000004">
      <c r="A82" s="888" t="s">
        <v>434</v>
      </c>
      <c r="B82" s="888"/>
      <c r="C82" s="67">
        <v>13000</v>
      </c>
      <c r="D82" s="93" t="s">
        <v>327</v>
      </c>
      <c r="E82" s="93"/>
    </row>
    <row r="83" spans="1:12" x14ac:dyDescent="0.55000000000000004">
      <c r="A83" s="94" t="s">
        <v>435</v>
      </c>
      <c r="B83" s="374"/>
      <c r="C83" s="67">
        <v>12</v>
      </c>
      <c r="D83" s="93"/>
      <c r="E83" s="93"/>
    </row>
    <row r="84" spans="1:12" x14ac:dyDescent="0.55000000000000004">
      <c r="A84" s="500"/>
      <c r="B84" s="67"/>
      <c r="C84" s="318"/>
      <c r="D84" s="212"/>
      <c r="E84" s="93"/>
    </row>
    <row r="85" spans="1:12" x14ac:dyDescent="0.55000000000000004">
      <c r="A85" s="500"/>
      <c r="B85" s="67"/>
      <c r="C85" s="318"/>
      <c r="D85" s="212"/>
      <c r="E85" s="93"/>
    </row>
    <row r="86" spans="1:12" ht="14.7" thickBot="1" x14ac:dyDescent="0.6">
      <c r="A86" s="870" t="s">
        <v>440</v>
      </c>
      <c r="B86" s="871"/>
      <c r="C86" s="871"/>
      <c r="D86" s="871"/>
      <c r="E86" s="871"/>
    </row>
    <row r="87" spans="1:12" ht="15" thickTop="1" thickBot="1" x14ac:dyDescent="0.6">
      <c r="A87" s="872" t="s">
        <v>431</v>
      </c>
      <c r="B87" s="873"/>
      <c r="C87" s="723" t="s">
        <v>433</v>
      </c>
      <c r="D87" s="723" t="s">
        <v>430</v>
      </c>
      <c r="E87" s="724" t="s">
        <v>429</v>
      </c>
    </row>
    <row r="88" spans="1:12" ht="15" thickTop="1" thickBot="1" x14ac:dyDescent="0.6">
      <c r="A88" s="884" t="s">
        <v>446</v>
      </c>
      <c r="B88" s="885"/>
      <c r="C88" s="729">
        <v>466</v>
      </c>
      <c r="D88" s="728">
        <f>$E$22</f>
        <v>2.0299999999999999E-2</v>
      </c>
      <c r="E88" s="730">
        <f>C88*D88</f>
        <v>9.4597999999999995</v>
      </c>
      <c r="F88" s="733" t="s">
        <v>427</v>
      </c>
      <c r="G88" s="791"/>
      <c r="H88" s="734"/>
    </row>
    <row r="89" spans="1:12" ht="14.7" thickTop="1" x14ac:dyDescent="0.55000000000000004">
      <c r="A89" s="731"/>
      <c r="B89" s="731"/>
      <c r="C89" s="101"/>
      <c r="D89" s="102"/>
      <c r="E89" s="732"/>
      <c r="F89" s="735"/>
      <c r="G89" s="735"/>
      <c r="H89" s="734"/>
    </row>
    <row r="90" spans="1:12" ht="14.7" thickBot="1" x14ac:dyDescent="0.6">
      <c r="A90" s="870" t="s">
        <v>439</v>
      </c>
      <c r="B90" s="871"/>
      <c r="C90" s="871"/>
      <c r="D90" s="871"/>
      <c r="E90" s="871"/>
      <c r="F90" s="735"/>
      <c r="G90" s="735"/>
      <c r="H90" s="734"/>
      <c r="I90" s="93"/>
    </row>
    <row r="91" spans="1:12" ht="15" thickTop="1" thickBot="1" x14ac:dyDescent="0.6">
      <c r="A91" s="872" t="s">
        <v>431</v>
      </c>
      <c r="B91" s="873"/>
      <c r="C91" s="723" t="s">
        <v>433</v>
      </c>
      <c r="D91" s="723" t="s">
        <v>430</v>
      </c>
      <c r="E91" s="724" t="s">
        <v>429</v>
      </c>
      <c r="F91" s="735"/>
      <c r="G91" s="735"/>
      <c r="H91" s="734"/>
    </row>
    <row r="92" spans="1:12" ht="14.7" thickTop="1" x14ac:dyDescent="0.55000000000000004">
      <c r="A92" s="874" t="s">
        <v>441</v>
      </c>
      <c r="B92" s="875"/>
      <c r="C92" s="714">
        <v>466</v>
      </c>
      <c r="D92" s="715">
        <f>$E$24</f>
        <v>7.1599999999999997E-2</v>
      </c>
      <c r="E92" s="721">
        <f>C92*D92</f>
        <v>33.365600000000001</v>
      </c>
      <c r="F92" s="733" t="s">
        <v>427</v>
      </c>
      <c r="G92" s="791"/>
      <c r="H92" s="734"/>
    </row>
    <row r="93" spans="1:12" ht="14.7" thickBot="1" x14ac:dyDescent="0.6">
      <c r="A93" s="876" t="s">
        <v>445</v>
      </c>
      <c r="B93" s="877"/>
      <c r="C93" s="716">
        <v>466</v>
      </c>
      <c r="D93" s="717">
        <f>$C$20</f>
        <v>0.22181679999999998</v>
      </c>
      <c r="E93" s="718">
        <f t="shared" ref="E93" si="3">C93*D93</f>
        <v>103.36662879999999</v>
      </c>
      <c r="F93" s="736" t="s">
        <v>428</v>
      </c>
      <c r="G93" s="792"/>
      <c r="H93" s="734"/>
      <c r="I93" s="293"/>
      <c r="J93" s="293"/>
      <c r="K93" s="293"/>
      <c r="L93" s="293"/>
    </row>
    <row r="94" spans="1:12" ht="15" thickTop="1" thickBot="1" x14ac:dyDescent="0.6">
      <c r="A94" s="865" t="s">
        <v>431</v>
      </c>
      <c r="B94" s="865"/>
      <c r="C94" s="708" t="s">
        <v>437</v>
      </c>
      <c r="D94" s="706" t="s">
        <v>380</v>
      </c>
      <c r="E94" s="737" t="s">
        <v>429</v>
      </c>
      <c r="F94" s="733"/>
      <c r="G94" s="791"/>
      <c r="H94" s="734"/>
    </row>
    <row r="95" spans="1:12" ht="34.5" customHeight="1" thickTop="1" thickBot="1" x14ac:dyDescent="0.6">
      <c r="A95" s="868" t="s">
        <v>443</v>
      </c>
      <c r="B95" s="869"/>
      <c r="C95" s="727">
        <v>958</v>
      </c>
      <c r="D95" s="720">
        <v>0.5</v>
      </c>
      <c r="E95" s="722">
        <f>C95*D95</f>
        <v>479</v>
      </c>
      <c r="F95" s="866" t="s">
        <v>438</v>
      </c>
      <c r="G95" s="867"/>
      <c r="H95" s="867"/>
    </row>
    <row r="96" spans="1:12" ht="15" thickTop="1" thickBot="1" x14ac:dyDescent="0.6">
      <c r="A96" s="870"/>
      <c r="B96" s="871"/>
      <c r="C96" s="871"/>
      <c r="D96" s="871"/>
      <c r="E96" s="871"/>
      <c r="F96" s="734"/>
      <c r="G96" s="793"/>
      <c r="H96" s="734"/>
    </row>
    <row r="97" spans="1:8" ht="15" thickTop="1" thickBot="1" x14ac:dyDescent="0.6">
      <c r="A97" s="872" t="s">
        <v>431</v>
      </c>
      <c r="B97" s="873"/>
      <c r="C97" s="723" t="s">
        <v>436</v>
      </c>
      <c r="D97" s="723" t="s">
        <v>430</v>
      </c>
      <c r="E97" s="724" t="s">
        <v>429</v>
      </c>
      <c r="F97" s="734"/>
      <c r="G97" s="793"/>
      <c r="H97" s="734"/>
    </row>
    <row r="98" spans="1:8" ht="15" thickTop="1" thickBot="1" x14ac:dyDescent="0.6">
      <c r="A98" s="886" t="s">
        <v>444</v>
      </c>
      <c r="B98" s="887"/>
      <c r="C98" s="726">
        <f>C82</f>
        <v>13000</v>
      </c>
      <c r="D98" s="715">
        <f>D35</f>
        <v>2.0299999999999999E-2</v>
      </c>
      <c r="E98" s="725">
        <f>$C$98*$D$35</f>
        <v>263.89999999999998</v>
      </c>
      <c r="F98" s="733" t="s">
        <v>432</v>
      </c>
      <c r="G98" s="791"/>
      <c r="H98" s="734"/>
    </row>
    <row r="99" spans="1:8" ht="15" thickTop="1" thickBot="1" x14ac:dyDescent="0.6">
      <c r="A99" s="873" t="s">
        <v>431</v>
      </c>
      <c r="B99" s="873"/>
      <c r="C99" s="723" t="s">
        <v>433</v>
      </c>
      <c r="D99" s="723" t="s">
        <v>430</v>
      </c>
      <c r="E99" s="723" t="s">
        <v>429</v>
      </c>
      <c r="F99" s="735"/>
      <c r="G99" s="735"/>
      <c r="H99" s="734"/>
    </row>
    <row r="100" spans="1:8" ht="14.7" thickTop="1" x14ac:dyDescent="0.55000000000000004">
      <c r="A100" s="878" t="s">
        <v>442</v>
      </c>
      <c r="B100" s="879"/>
      <c r="C100" s="714">
        <v>466</v>
      </c>
      <c r="D100" s="715">
        <f>$D$20</f>
        <v>5.9539899999999993E-2</v>
      </c>
      <c r="E100" s="721">
        <f>C100*D100</f>
        <v>27.745593399999997</v>
      </c>
      <c r="F100" s="736" t="s">
        <v>426</v>
      </c>
      <c r="G100" s="792"/>
      <c r="H100" s="734"/>
    </row>
    <row r="101" spans="1:8" ht="14.7" thickBot="1" x14ac:dyDescent="0.6">
      <c r="A101" s="863" t="s">
        <v>446</v>
      </c>
      <c r="B101" s="864"/>
      <c r="C101" s="719">
        <v>466</v>
      </c>
      <c r="D101" s="720">
        <f>$E$22</f>
        <v>2.0299999999999999E-2</v>
      </c>
      <c r="E101" s="722">
        <f>C101*D101</f>
        <v>9.4597999999999995</v>
      </c>
      <c r="F101" s="733" t="s">
        <v>427</v>
      </c>
      <c r="G101" s="791"/>
      <c r="H101" s="734"/>
    </row>
    <row r="102" spans="1:8" ht="14.7" thickTop="1" x14ac:dyDescent="0.55000000000000004">
      <c r="A102" s="94"/>
      <c r="B102" s="374"/>
      <c r="C102" s="67"/>
      <c r="D102" s="93"/>
      <c r="E102" s="93"/>
    </row>
    <row r="103" spans="1:8" x14ac:dyDescent="0.55000000000000004">
      <c r="A103" s="94"/>
      <c r="B103" s="374"/>
      <c r="C103" s="67"/>
      <c r="D103" s="93"/>
      <c r="E103" s="93"/>
    </row>
    <row r="104" spans="1:8" x14ac:dyDescent="0.55000000000000004">
      <c r="A104" s="94"/>
      <c r="B104" s="374"/>
      <c r="C104" s="67"/>
      <c r="D104" s="93"/>
      <c r="E104" s="93"/>
    </row>
    <row r="105" spans="1:8" x14ac:dyDescent="0.55000000000000004">
      <c r="A105" s="94"/>
      <c r="B105" s="374"/>
      <c r="C105" s="67"/>
      <c r="D105" s="93"/>
      <c r="E105" s="93"/>
    </row>
    <row r="106" spans="1:8" x14ac:dyDescent="0.55000000000000004">
      <c r="A106" s="94"/>
      <c r="B106" s="374"/>
      <c r="C106" s="374"/>
      <c r="D106" s="93"/>
      <c r="E106" s="93"/>
    </row>
    <row r="107" spans="1:8" x14ac:dyDescent="0.55000000000000004">
      <c r="A107" s="94"/>
      <c r="B107" s="374"/>
      <c r="C107" s="374"/>
      <c r="D107" s="93"/>
      <c r="E107" s="93"/>
    </row>
    <row r="108" spans="1:8" x14ac:dyDescent="0.55000000000000004">
      <c r="A108" s="94"/>
      <c r="B108" s="374"/>
      <c r="C108" s="374"/>
      <c r="D108" s="93"/>
      <c r="E108" s="93"/>
    </row>
    <row r="109" spans="1:8" x14ac:dyDescent="0.55000000000000004">
      <c r="A109" s="94"/>
      <c r="B109" s="374"/>
      <c r="C109" s="374"/>
      <c r="D109" s="93"/>
      <c r="E109" s="93"/>
    </row>
    <row r="110" spans="1:8" x14ac:dyDescent="0.55000000000000004">
      <c r="A110" s="94"/>
      <c r="B110" s="374"/>
      <c r="C110" s="374"/>
      <c r="D110" s="93"/>
      <c r="E110" s="93"/>
    </row>
  </sheetData>
  <mergeCells count="33">
    <mergeCell ref="A2:F2"/>
    <mergeCell ref="A75:B75"/>
    <mergeCell ref="A52:D52"/>
    <mergeCell ref="A53:D53"/>
    <mergeCell ref="A54:D54"/>
    <mergeCell ref="A18:B18"/>
    <mergeCell ref="C18:D18"/>
    <mergeCell ref="C17:D17"/>
    <mergeCell ref="A44:B44"/>
    <mergeCell ref="A25:B25"/>
    <mergeCell ref="A41:B41"/>
    <mergeCell ref="A55:D55"/>
    <mergeCell ref="A65:B65"/>
    <mergeCell ref="A88:B88"/>
    <mergeCell ref="A98:B98"/>
    <mergeCell ref="A86:E86"/>
    <mergeCell ref="A87:B87"/>
    <mergeCell ref="A96:E96"/>
    <mergeCell ref="A97:B97"/>
    <mergeCell ref="A81:B81"/>
    <mergeCell ref="A82:B82"/>
    <mergeCell ref="N34:O34"/>
    <mergeCell ref="N35:O35"/>
    <mergeCell ref="A101:B101"/>
    <mergeCell ref="A94:B94"/>
    <mergeCell ref="F95:H95"/>
    <mergeCell ref="A95:B95"/>
    <mergeCell ref="A90:E90"/>
    <mergeCell ref="A91:B91"/>
    <mergeCell ref="A92:B92"/>
    <mergeCell ref="A93:B93"/>
    <mergeCell ref="A100:B100"/>
    <mergeCell ref="A99:B99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F847A-1BEC-41BD-ABE3-E971E0985497}">
  <sheetPr>
    <tabColor rgb="FFFF0000"/>
  </sheetPr>
  <dimension ref="A4:D24"/>
  <sheetViews>
    <sheetView workbookViewId="0">
      <selection activeCell="B33" sqref="B33"/>
    </sheetView>
  </sheetViews>
  <sheetFormatPr defaultRowHeight="14.4" x14ac:dyDescent="0.55000000000000004"/>
  <cols>
    <col min="1" max="1" width="40.3125" bestFit="1" customWidth="1"/>
    <col min="2" max="3" width="15.5234375" customWidth="1"/>
    <col min="4" max="4" width="20" customWidth="1"/>
  </cols>
  <sheetData>
    <row r="4" spans="1:4" ht="14.7" thickBot="1" x14ac:dyDescent="0.6"/>
    <row r="5" spans="1:4" ht="14.7" thickTop="1" x14ac:dyDescent="0.55000000000000004">
      <c r="A5" s="293"/>
      <c r="B5" s="981" t="s">
        <v>248</v>
      </c>
      <c r="C5" s="893"/>
      <c r="D5" s="894"/>
    </row>
    <row r="6" spans="1:4" ht="14.7" thickBot="1" x14ac:dyDescent="0.6">
      <c r="A6" s="980"/>
      <c r="B6" s="982" t="s">
        <v>406</v>
      </c>
      <c r="C6" s="895"/>
      <c r="D6" s="896"/>
    </row>
    <row r="7" spans="1:4" ht="14.7" thickTop="1" x14ac:dyDescent="0.55000000000000004">
      <c r="A7" s="634" t="s">
        <v>407</v>
      </c>
      <c r="B7" s="635" t="s">
        <v>312</v>
      </c>
      <c r="C7" s="636" t="s">
        <v>129</v>
      </c>
      <c r="D7" s="637" t="s">
        <v>410</v>
      </c>
    </row>
    <row r="8" spans="1:4" ht="14.7" thickBot="1" x14ac:dyDescent="0.6">
      <c r="A8" s="631" t="s">
        <v>408</v>
      </c>
      <c r="B8" s="243">
        <f>'TRIP GENERATION'!J24</f>
        <v>3511.437000380663</v>
      </c>
      <c r="C8" s="632">
        <f>'TRIP GENERATION'!K24</f>
        <v>2842.9577464788731</v>
      </c>
      <c r="D8" s="633">
        <f>B8+C8</f>
        <v>6354.3947468595361</v>
      </c>
    </row>
    <row r="9" spans="1:4" ht="15" thickTop="1" thickBot="1" x14ac:dyDescent="0.6">
      <c r="A9" s="68"/>
      <c r="B9" s="897" t="s">
        <v>411</v>
      </c>
      <c r="C9" s="873"/>
      <c r="D9" s="873"/>
    </row>
    <row r="10" spans="1:4" ht="14.7" thickTop="1" x14ac:dyDescent="0.55000000000000004">
      <c r="A10" s="208" t="s">
        <v>404</v>
      </c>
      <c r="B10" s="638">
        <v>2</v>
      </c>
      <c r="C10" s="639">
        <v>2</v>
      </c>
      <c r="D10" s="617">
        <f>B10+C10</f>
        <v>4</v>
      </c>
    </row>
    <row r="11" spans="1:4" x14ac:dyDescent="0.55000000000000004">
      <c r="A11" s="627" t="s">
        <v>403</v>
      </c>
      <c r="B11" s="624">
        <v>10</v>
      </c>
      <c r="C11" s="628">
        <v>15</v>
      </c>
      <c r="D11" s="618">
        <f>B11+C11</f>
        <v>25</v>
      </c>
    </row>
    <row r="12" spans="1:4" x14ac:dyDescent="0.55000000000000004">
      <c r="A12" s="627" t="s">
        <v>405</v>
      </c>
      <c r="B12" s="624">
        <f>SUM(B10:B11)</f>
        <v>12</v>
      </c>
      <c r="C12" s="628">
        <f>SUM(C10:C11)</f>
        <v>17</v>
      </c>
      <c r="D12" s="618">
        <f>B12+C12</f>
        <v>29</v>
      </c>
    </row>
    <row r="13" spans="1:4" ht="14.7" thickBot="1" x14ac:dyDescent="0.6">
      <c r="A13" s="630" t="s">
        <v>207</v>
      </c>
      <c r="B13" s="640">
        <f>B12/5</f>
        <v>2.4</v>
      </c>
      <c r="C13" s="641">
        <f>C12/5</f>
        <v>3.4</v>
      </c>
      <c r="D13" s="642">
        <f>D12/5</f>
        <v>5.8</v>
      </c>
    </row>
    <row r="14" spans="1:4" ht="15" thickTop="1" thickBot="1" x14ac:dyDescent="0.6">
      <c r="A14" s="68"/>
      <c r="B14" s="880" t="s">
        <v>412</v>
      </c>
      <c r="C14" s="880"/>
      <c r="D14" s="880"/>
    </row>
    <row r="15" spans="1:4" ht="14.7" thickTop="1" x14ac:dyDescent="0.55000000000000004">
      <c r="A15" s="643" t="s">
        <v>209</v>
      </c>
      <c r="B15" s="644">
        <f>B13/B8*1000</f>
        <v>0.68348086545190023</v>
      </c>
      <c r="C15" s="645">
        <f>C13/C8*1000</f>
        <v>1.1959375774089669</v>
      </c>
      <c r="D15" s="646">
        <f>D13/D8*1000</f>
        <v>0.91275412231298214</v>
      </c>
    </row>
    <row r="16" spans="1:4" x14ac:dyDescent="0.55000000000000004">
      <c r="A16" s="627" t="s">
        <v>206</v>
      </c>
      <c r="B16" s="625">
        <v>0.63</v>
      </c>
      <c r="C16" s="629">
        <v>0.63</v>
      </c>
      <c r="D16" s="619">
        <v>0.63</v>
      </c>
    </row>
    <row r="17" spans="1:4" ht="14.7" thickBot="1" x14ac:dyDescent="0.6">
      <c r="A17" s="647" t="s">
        <v>208</v>
      </c>
      <c r="B17" s="648">
        <f>B15/B16</f>
        <v>1.0848902626220638</v>
      </c>
      <c r="C17" s="649">
        <f>C15/C16</f>
        <v>1.8983136149348681</v>
      </c>
      <c r="D17" s="650">
        <f>D15/D16</f>
        <v>1.4488160671634638</v>
      </c>
    </row>
    <row r="18" spans="1:4" ht="15" thickTop="1" thickBot="1" x14ac:dyDescent="0.6">
      <c r="A18" s="68"/>
      <c r="B18" s="880" t="s">
        <v>413</v>
      </c>
      <c r="C18" s="881"/>
      <c r="D18" s="881"/>
    </row>
    <row r="19" spans="1:4" ht="14.7" thickTop="1" x14ac:dyDescent="0.55000000000000004">
      <c r="A19" s="208" t="s">
        <v>409</v>
      </c>
      <c r="B19" s="653">
        <f>B15*0.92</f>
        <v>0.62880239621574829</v>
      </c>
      <c r="C19" s="654">
        <f>C15*0.92</f>
        <v>1.1002625712162495</v>
      </c>
      <c r="D19" s="655">
        <f>D15*0.92</f>
        <v>0.83973379252794356</v>
      </c>
    </row>
    <row r="20" spans="1:4" x14ac:dyDescent="0.55000000000000004">
      <c r="A20" s="627" t="s">
        <v>210</v>
      </c>
      <c r="B20" s="626">
        <f>B19*B8/1000</f>
        <v>2.2080000000000006</v>
      </c>
      <c r="C20" s="616">
        <f>C19*C8/1000</f>
        <v>3.1279999999999992</v>
      </c>
      <c r="D20" s="620">
        <f>D19*D8/1000</f>
        <v>5.3360000000000003</v>
      </c>
    </row>
    <row r="21" spans="1:4" ht="14.7" thickBot="1" x14ac:dyDescent="0.6">
      <c r="A21" s="630" t="s">
        <v>211</v>
      </c>
      <c r="B21" s="640">
        <f>B19*'TRIP GENERATION'!J24/1000</f>
        <v>2.2080000000000006</v>
      </c>
      <c r="C21" s="641">
        <f>C19*'TRIP GENERATION'!K24/1000</f>
        <v>3.1279999999999992</v>
      </c>
      <c r="D21" s="642">
        <f>D19*D8/1000</f>
        <v>5.3360000000000003</v>
      </c>
    </row>
    <row r="22" spans="1:4" ht="15" thickTop="1" thickBot="1" x14ac:dyDescent="0.6">
      <c r="A22" s="68"/>
      <c r="B22" s="882" t="s">
        <v>414</v>
      </c>
      <c r="C22" s="883"/>
      <c r="D22" s="883"/>
    </row>
    <row r="23" spans="1:4" ht="15" thickTop="1" thickBot="1" x14ac:dyDescent="0.6">
      <c r="A23" s="294" t="s">
        <v>247</v>
      </c>
      <c r="B23" s="651">
        <f>B13-B21</f>
        <v>0.19199999999999928</v>
      </c>
      <c r="C23" s="652">
        <f>C13-C21</f>
        <v>0.27200000000000069</v>
      </c>
      <c r="D23" s="294">
        <f>D13-D21</f>
        <v>0.46399999999999952</v>
      </c>
    </row>
    <row r="24" spans="1:4" ht="14.7" thickTop="1" x14ac:dyDescent="0.55000000000000004"/>
  </sheetData>
  <mergeCells count="6">
    <mergeCell ref="B5:D5"/>
    <mergeCell ref="B6:D6"/>
    <mergeCell ref="B9:D9"/>
    <mergeCell ref="B14:D14"/>
    <mergeCell ref="B18:D18"/>
    <mergeCell ref="B22:D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ECA68-405D-4BA3-A44B-3B5D279587BD}">
  <sheetPr>
    <tabColor theme="0" tint="-0.249977111117893"/>
  </sheetPr>
  <dimension ref="C1:W55"/>
  <sheetViews>
    <sheetView workbookViewId="0">
      <selection activeCell="H38" sqref="H38"/>
    </sheetView>
  </sheetViews>
  <sheetFormatPr defaultRowHeight="14.4" x14ac:dyDescent="0.55000000000000004"/>
  <cols>
    <col min="1" max="1" width="10.41796875" bestFit="1" customWidth="1"/>
    <col min="3" max="3" width="12.41796875" customWidth="1"/>
    <col min="4" max="4" width="18.26171875" customWidth="1"/>
    <col min="5" max="5" width="12.41796875" customWidth="1"/>
    <col min="6" max="6" width="19" customWidth="1"/>
    <col min="7" max="7" width="16.41796875" customWidth="1"/>
    <col min="8" max="8" width="13.578125" customWidth="1"/>
    <col min="9" max="9" width="12.41796875" customWidth="1"/>
    <col min="10" max="10" width="16" customWidth="1"/>
    <col min="11" max="11" width="15.26171875" customWidth="1"/>
    <col min="12" max="12" width="17.41796875" customWidth="1"/>
    <col min="14" max="14" width="10.578125" style="66" customWidth="1"/>
    <col min="20" max="20" width="28.578125" customWidth="1"/>
  </cols>
  <sheetData>
    <row r="1" spans="3:23" ht="14.7" thickBot="1" x14ac:dyDescent="0.6">
      <c r="C1" s="917" t="s">
        <v>172</v>
      </c>
      <c r="D1" s="918"/>
      <c r="E1" s="919"/>
      <c r="F1" s="66"/>
      <c r="G1" s="66"/>
      <c r="H1" s="66"/>
      <c r="I1" s="66"/>
      <c r="J1" s="917" t="s">
        <v>173</v>
      </c>
      <c r="K1" s="918"/>
      <c r="L1" s="919"/>
      <c r="M1" s="19"/>
      <c r="N1" s="383"/>
      <c r="O1" s="19"/>
      <c r="P1" s="19"/>
      <c r="Q1" s="19"/>
      <c r="R1" s="19"/>
      <c r="S1" s="19"/>
      <c r="T1" s="19"/>
      <c r="U1" s="19"/>
      <c r="V1" s="19"/>
      <c r="W1" s="19"/>
    </row>
    <row r="2" spans="3:23" x14ac:dyDescent="0.55000000000000004">
      <c r="C2" s="920" t="s">
        <v>167</v>
      </c>
      <c r="D2" s="921"/>
      <c r="E2" s="156">
        <v>0.02</v>
      </c>
      <c r="F2" s="66"/>
      <c r="G2" s="66"/>
      <c r="H2" s="66"/>
      <c r="I2" s="66"/>
      <c r="J2" s="920" t="s">
        <v>169</v>
      </c>
      <c r="K2" s="921"/>
      <c r="L2" s="156">
        <v>0.02</v>
      </c>
      <c r="M2" s="19"/>
      <c r="N2" s="383"/>
      <c r="O2" s="19"/>
      <c r="P2" s="19"/>
      <c r="Q2" s="19"/>
      <c r="R2" s="19"/>
      <c r="S2" s="19"/>
      <c r="T2" s="19"/>
      <c r="U2" s="19"/>
      <c r="V2" s="19"/>
      <c r="W2" s="19"/>
    </row>
    <row r="3" spans="3:23" ht="14.7" thickBot="1" x14ac:dyDescent="0.6">
      <c r="C3" s="535" t="s">
        <v>168</v>
      </c>
      <c r="D3" s="536"/>
      <c r="E3" s="759">
        <f>'TRIP GENERATION'!D75</f>
        <v>1175.9671891891894</v>
      </c>
      <c r="F3" s="66"/>
      <c r="G3" s="66"/>
      <c r="H3" s="66"/>
      <c r="I3" s="66"/>
      <c r="J3" s="535" t="s">
        <v>170</v>
      </c>
      <c r="K3" s="536"/>
      <c r="L3" s="761">
        <f>'TRIP GENERATION'!E44</f>
        <v>23.872133940540547</v>
      </c>
      <c r="M3" s="19"/>
      <c r="N3" s="383"/>
      <c r="O3" s="19"/>
      <c r="P3" s="19"/>
      <c r="Q3" s="19"/>
      <c r="R3" s="19"/>
      <c r="S3" s="19"/>
      <c r="T3" s="19"/>
      <c r="U3" s="19"/>
      <c r="V3" s="19"/>
      <c r="W3" s="19"/>
    </row>
    <row r="4" spans="3:23" ht="15" thickTop="1" thickBot="1" x14ac:dyDescent="0.6">
      <c r="C4" s="922" t="s">
        <v>166</v>
      </c>
      <c r="D4" s="923"/>
      <c r="E4" s="923"/>
      <c r="F4" s="923"/>
      <c r="G4" s="923"/>
      <c r="H4" s="923"/>
      <c r="I4" s="923"/>
      <c r="J4" s="923"/>
      <c r="K4" s="923"/>
      <c r="L4" s="924"/>
      <c r="M4" s="19"/>
      <c r="N4" s="383"/>
      <c r="O4" s="19"/>
      <c r="P4" s="916"/>
      <c r="Q4" s="916"/>
      <c r="R4" s="916"/>
      <c r="S4" s="19"/>
      <c r="T4" s="19"/>
      <c r="U4" s="19"/>
      <c r="V4" s="19"/>
      <c r="W4" s="19"/>
    </row>
    <row r="5" spans="3:23" ht="58.2" thickTop="1" thickBot="1" x14ac:dyDescent="0.6">
      <c r="C5" s="160" t="s">
        <v>4</v>
      </c>
      <c r="D5" s="32" t="s">
        <v>2</v>
      </c>
      <c r="E5" s="46" t="s">
        <v>171</v>
      </c>
      <c r="F5" s="46" t="s">
        <v>174</v>
      </c>
      <c r="G5" s="46" t="s">
        <v>90</v>
      </c>
      <c r="H5" s="46" t="s">
        <v>92</v>
      </c>
      <c r="I5" s="45" t="s">
        <v>170</v>
      </c>
      <c r="J5" s="45" t="s">
        <v>175</v>
      </c>
      <c r="K5" s="36" t="s">
        <v>91</v>
      </c>
      <c r="L5" s="161" t="s">
        <v>93</v>
      </c>
      <c r="M5" s="19"/>
      <c r="N5" s="531" t="s">
        <v>176</v>
      </c>
      <c r="O5" s="19"/>
      <c r="P5" s="37"/>
      <c r="Q5" s="37"/>
      <c r="R5" s="37"/>
      <c r="S5" s="19"/>
      <c r="T5" s="19"/>
      <c r="U5" s="19"/>
      <c r="V5" s="19"/>
      <c r="W5" s="19"/>
    </row>
    <row r="6" spans="3:23" ht="15" thickTop="1" thickBot="1" x14ac:dyDescent="0.6">
      <c r="C6" s="162">
        <v>1</v>
      </c>
      <c r="D6" s="27">
        <v>2027</v>
      </c>
      <c r="E6" s="155">
        <f>E3</f>
        <v>1175.9671891891894</v>
      </c>
      <c r="F6" s="28">
        <f>E6*365</f>
        <v>429228.02405405411</v>
      </c>
      <c r="G6" s="33">
        <v>0.86</v>
      </c>
      <c r="H6" s="35">
        <f>F6*G6</f>
        <v>369136.10068648652</v>
      </c>
      <c r="I6" s="155">
        <f>$L$3</f>
        <v>23.872133940540547</v>
      </c>
      <c r="J6" s="28">
        <f>I6*365</f>
        <v>8713.3288882972993</v>
      </c>
      <c r="K6" s="31">
        <v>2.38</v>
      </c>
      <c r="L6" s="163">
        <f>J6*K6*1.42</f>
        <v>29447.566310889553</v>
      </c>
      <c r="M6" s="19"/>
      <c r="N6" s="534">
        <f>H6+L6</f>
        <v>398583.66699737607</v>
      </c>
      <c r="O6" s="19"/>
      <c r="P6" s="19"/>
      <c r="Q6" s="19"/>
      <c r="R6" s="19"/>
      <c r="S6" s="19"/>
      <c r="T6" s="19"/>
      <c r="U6" s="19"/>
      <c r="V6" s="19"/>
      <c r="W6" s="19"/>
    </row>
    <row r="7" spans="3:23" ht="14.7" thickTop="1" x14ac:dyDescent="0.55000000000000004">
      <c r="C7" s="162">
        <v>2</v>
      </c>
      <c r="D7" s="27">
        <v>2028</v>
      </c>
      <c r="E7" s="155">
        <f>E6*(1+$E$2)</f>
        <v>1199.4865329729732</v>
      </c>
      <c r="F7" s="28">
        <f>F6*(1+$E$2)</f>
        <v>437812.58453513519</v>
      </c>
      <c r="G7" s="33">
        <v>0.86</v>
      </c>
      <c r="H7" s="35">
        <f t="shared" ref="H7:H25" si="0">F7*G7</f>
        <v>376518.82270021626</v>
      </c>
      <c r="I7" s="155">
        <f>I6*(1+$L$2)</f>
        <v>24.349576619351357</v>
      </c>
      <c r="J7" s="28">
        <f t="shared" ref="J7:J25" si="1">I7*365</f>
        <v>8887.5954660632451</v>
      </c>
      <c r="K7" s="31">
        <v>2.38</v>
      </c>
      <c r="L7" s="163">
        <f t="shared" ref="L7:L25" si="2">J7*K7*1.42</f>
        <v>30036.517637107339</v>
      </c>
      <c r="M7" s="19"/>
      <c r="N7" s="532"/>
      <c r="O7" s="19"/>
      <c r="P7" s="19"/>
      <c r="Q7" s="19"/>
      <c r="R7" s="19"/>
      <c r="S7" s="19"/>
      <c r="T7" s="19"/>
      <c r="U7" s="19"/>
      <c r="V7" s="19"/>
      <c r="W7" s="19"/>
    </row>
    <row r="8" spans="3:23" x14ac:dyDescent="0.55000000000000004">
      <c r="C8" s="162">
        <v>3</v>
      </c>
      <c r="D8" s="27">
        <v>2029</v>
      </c>
      <c r="E8" s="155">
        <f t="shared" ref="E8:F23" si="3">E7*(1+$E$2)</f>
        <v>1223.4762636324326</v>
      </c>
      <c r="F8" s="28">
        <f t="shared" si="3"/>
        <v>446568.83622583788</v>
      </c>
      <c r="G8" s="33">
        <v>0.86</v>
      </c>
      <c r="H8" s="35">
        <f t="shared" si="0"/>
        <v>384049.19915422058</v>
      </c>
      <c r="I8" s="155">
        <f t="shared" ref="I8:I25" si="4">I7*(1+$L$2)</f>
        <v>24.836568151738383</v>
      </c>
      <c r="J8" s="28">
        <f t="shared" si="1"/>
        <v>9065.3473753845101</v>
      </c>
      <c r="K8" s="31">
        <v>2.38</v>
      </c>
      <c r="L8" s="163">
        <f t="shared" si="2"/>
        <v>30637.247989849486</v>
      </c>
      <c r="M8" s="19"/>
      <c r="N8" s="532"/>
      <c r="O8" s="19"/>
      <c r="P8" s="19"/>
      <c r="Q8" s="19"/>
      <c r="R8" s="19"/>
      <c r="S8" s="19"/>
      <c r="T8" s="19"/>
      <c r="U8" s="19"/>
      <c r="V8" s="19"/>
      <c r="W8" s="19"/>
    </row>
    <row r="9" spans="3:23" x14ac:dyDescent="0.55000000000000004">
      <c r="C9" s="162">
        <v>4</v>
      </c>
      <c r="D9" s="27">
        <v>2030</v>
      </c>
      <c r="E9" s="155">
        <f t="shared" si="3"/>
        <v>1247.9457889050814</v>
      </c>
      <c r="F9" s="28">
        <f t="shared" si="3"/>
        <v>455500.21295035462</v>
      </c>
      <c r="G9" s="33">
        <v>0.86</v>
      </c>
      <c r="H9" s="35">
        <f t="shared" si="0"/>
        <v>391730.18313730496</v>
      </c>
      <c r="I9" s="155">
        <f t="shared" si="4"/>
        <v>25.333299514773152</v>
      </c>
      <c r="J9" s="28">
        <f t="shared" si="1"/>
        <v>9246.6543228922001</v>
      </c>
      <c r="K9" s="31">
        <v>2.38</v>
      </c>
      <c r="L9" s="163">
        <f t="shared" si="2"/>
        <v>31249.992949646479</v>
      </c>
      <c r="M9" s="42"/>
      <c r="N9" s="532"/>
      <c r="O9" s="42"/>
      <c r="P9" s="42"/>
      <c r="Q9" s="42"/>
      <c r="R9" s="19"/>
      <c r="S9" s="19"/>
      <c r="T9" s="19"/>
      <c r="U9" s="19"/>
      <c r="V9" s="19"/>
      <c r="W9" s="19"/>
    </row>
    <row r="10" spans="3:23" x14ac:dyDescent="0.55000000000000004">
      <c r="C10" s="162">
        <v>5</v>
      </c>
      <c r="D10" s="27">
        <v>2031</v>
      </c>
      <c r="E10" s="155">
        <f t="shared" si="3"/>
        <v>1272.9047046831831</v>
      </c>
      <c r="F10" s="28">
        <f t="shared" si="3"/>
        <v>464610.21720936173</v>
      </c>
      <c r="G10" s="33">
        <v>0.86</v>
      </c>
      <c r="H10" s="35">
        <f t="shared" si="0"/>
        <v>399564.78680005105</v>
      </c>
      <c r="I10" s="155">
        <f t="shared" si="4"/>
        <v>25.839965505068616</v>
      </c>
      <c r="J10" s="28">
        <f t="shared" si="1"/>
        <v>9431.5874093500443</v>
      </c>
      <c r="K10" s="31">
        <v>2.38</v>
      </c>
      <c r="L10" s="163">
        <f t="shared" si="2"/>
        <v>31874.992808639407</v>
      </c>
      <c r="M10" s="41"/>
      <c r="N10" s="532"/>
      <c r="O10" s="41"/>
      <c r="P10" s="41"/>
      <c r="Q10" s="41"/>
      <c r="R10" s="19"/>
      <c r="S10" s="19"/>
      <c r="T10" s="19"/>
      <c r="U10" s="19"/>
      <c r="V10" s="19"/>
      <c r="W10" s="19"/>
    </row>
    <row r="11" spans="3:23" x14ac:dyDescent="0.55000000000000004">
      <c r="C11" s="162">
        <v>6</v>
      </c>
      <c r="D11" s="27">
        <v>2032</v>
      </c>
      <c r="E11" s="155">
        <f t="shared" si="3"/>
        <v>1298.3627987768468</v>
      </c>
      <c r="F11" s="28">
        <f t="shared" si="3"/>
        <v>473902.42155354895</v>
      </c>
      <c r="G11" s="33">
        <v>0.86</v>
      </c>
      <c r="H11" s="35">
        <f t="shared" si="0"/>
        <v>407556.0825360521</v>
      </c>
      <c r="I11" s="155">
        <f t="shared" si="4"/>
        <v>26.356764815169988</v>
      </c>
      <c r="J11" s="28">
        <f t="shared" si="1"/>
        <v>9620.2191575370452</v>
      </c>
      <c r="K11" s="31">
        <v>2.38</v>
      </c>
      <c r="L11" s="163">
        <f t="shared" si="2"/>
        <v>32512.492664812195</v>
      </c>
      <c r="M11" s="41"/>
      <c r="N11" s="532"/>
      <c r="O11" s="37"/>
      <c r="P11" s="37"/>
      <c r="Q11" s="37"/>
      <c r="R11" s="19"/>
      <c r="S11" s="19"/>
      <c r="T11" s="19"/>
      <c r="U11" s="19"/>
      <c r="V11" s="19"/>
      <c r="W11" s="19"/>
    </row>
    <row r="12" spans="3:23" x14ac:dyDescent="0.55000000000000004">
      <c r="C12" s="162">
        <v>7</v>
      </c>
      <c r="D12" s="27">
        <v>2033</v>
      </c>
      <c r="E12" s="155">
        <f t="shared" si="3"/>
        <v>1324.3300547523838</v>
      </c>
      <c r="F12" s="28">
        <f t="shared" si="3"/>
        <v>483380.46998461994</v>
      </c>
      <c r="G12" s="33">
        <v>0.86</v>
      </c>
      <c r="H12" s="35">
        <f t="shared" si="0"/>
        <v>415707.20418677316</v>
      </c>
      <c r="I12" s="155">
        <f t="shared" si="4"/>
        <v>26.883900111473388</v>
      </c>
      <c r="J12" s="28">
        <f t="shared" si="1"/>
        <v>9812.6235406877859</v>
      </c>
      <c r="K12" s="31">
        <v>2.38</v>
      </c>
      <c r="L12" s="163">
        <f t="shared" si="2"/>
        <v>33162.742518108433</v>
      </c>
      <c r="M12" s="38"/>
      <c r="N12" s="533"/>
      <c r="O12" s="39"/>
      <c r="P12" s="39"/>
      <c r="Q12" s="39"/>
      <c r="R12" s="44"/>
      <c r="S12" s="44"/>
      <c r="T12" s="44"/>
      <c r="U12" s="44"/>
      <c r="V12" s="44"/>
      <c r="W12" s="44"/>
    </row>
    <row r="13" spans="3:23" ht="14.5" customHeight="1" x14ac:dyDescent="0.55000000000000004">
      <c r="C13" s="162">
        <v>8</v>
      </c>
      <c r="D13" s="27">
        <v>2034</v>
      </c>
      <c r="E13" s="155">
        <f t="shared" si="3"/>
        <v>1350.8166558474315</v>
      </c>
      <c r="F13" s="28">
        <f t="shared" si="3"/>
        <v>493048.07938431232</v>
      </c>
      <c r="G13" s="33">
        <v>0.86</v>
      </c>
      <c r="H13" s="35">
        <f t="shared" si="0"/>
        <v>424021.34827050858</v>
      </c>
      <c r="I13" s="155">
        <f t="shared" si="4"/>
        <v>27.421578113702857</v>
      </c>
      <c r="J13" s="28">
        <f t="shared" si="1"/>
        <v>10008.876011501543</v>
      </c>
      <c r="K13" s="31">
        <v>2.38</v>
      </c>
      <c r="L13" s="163">
        <f t="shared" si="2"/>
        <v>33825.997368470613</v>
      </c>
      <c r="M13" s="40"/>
      <c r="N13" s="533"/>
      <c r="O13" s="39"/>
      <c r="P13" s="39"/>
      <c r="Q13" s="39"/>
      <c r="R13" s="43"/>
      <c r="S13" s="43"/>
      <c r="T13" s="43"/>
      <c r="U13" s="43"/>
      <c r="V13" s="43"/>
      <c r="W13" s="43"/>
    </row>
    <row r="14" spans="3:23" x14ac:dyDescent="0.55000000000000004">
      <c r="C14" s="162">
        <v>9</v>
      </c>
      <c r="D14" s="27">
        <v>2035</v>
      </c>
      <c r="E14" s="155">
        <f t="shared" si="3"/>
        <v>1377.8329889643801</v>
      </c>
      <c r="F14" s="28">
        <f t="shared" si="3"/>
        <v>502909.04097199859</v>
      </c>
      <c r="G14" s="33">
        <v>0.86</v>
      </c>
      <c r="H14" s="35">
        <f t="shared" si="0"/>
        <v>432501.77523591876</v>
      </c>
      <c r="I14" s="155">
        <f t="shared" si="4"/>
        <v>27.970009675976915</v>
      </c>
      <c r="J14" s="28">
        <f t="shared" si="1"/>
        <v>10209.053531731573</v>
      </c>
      <c r="K14" s="31">
        <v>2.38</v>
      </c>
      <c r="L14" s="163">
        <f t="shared" si="2"/>
        <v>34502.517315840021</v>
      </c>
      <c r="M14" s="40"/>
      <c r="N14" s="533"/>
      <c r="O14" s="39"/>
      <c r="P14" s="39"/>
      <c r="Q14" s="39"/>
      <c r="R14" s="43"/>
      <c r="S14" s="43"/>
      <c r="T14" s="43"/>
      <c r="U14" s="43"/>
      <c r="V14" s="43"/>
      <c r="W14" s="43"/>
    </row>
    <row r="15" spans="3:23" x14ac:dyDescent="0.55000000000000004">
      <c r="C15" s="162">
        <v>10</v>
      </c>
      <c r="D15" s="27">
        <v>2036</v>
      </c>
      <c r="E15" s="155">
        <f t="shared" si="3"/>
        <v>1405.3896487436677</v>
      </c>
      <c r="F15" s="28">
        <f t="shared" si="3"/>
        <v>512967.22179143858</v>
      </c>
      <c r="G15" s="33">
        <v>0.86</v>
      </c>
      <c r="H15" s="35">
        <f t="shared" si="0"/>
        <v>441151.81074063719</v>
      </c>
      <c r="I15" s="155">
        <f t="shared" si="4"/>
        <v>28.529409869496455</v>
      </c>
      <c r="J15" s="28">
        <f t="shared" si="1"/>
        <v>10413.234602366207</v>
      </c>
      <c r="K15" s="31">
        <v>2.38</v>
      </c>
      <c r="L15" s="163">
        <f t="shared" si="2"/>
        <v>35192.567662156827</v>
      </c>
      <c r="M15" s="40"/>
      <c r="N15" s="533"/>
      <c r="O15" s="39"/>
      <c r="P15" s="39"/>
      <c r="Q15" s="39"/>
      <c r="R15" s="43"/>
      <c r="S15" s="43"/>
      <c r="T15" s="43"/>
      <c r="U15" s="43"/>
      <c r="V15" s="43"/>
      <c r="W15" s="43"/>
    </row>
    <row r="16" spans="3:23" x14ac:dyDescent="0.55000000000000004">
      <c r="C16" s="162">
        <v>11</v>
      </c>
      <c r="D16" s="27">
        <v>2037</v>
      </c>
      <c r="E16" s="155">
        <f t="shared" si="3"/>
        <v>1433.497441718541</v>
      </c>
      <c r="F16" s="28">
        <f t="shared" si="3"/>
        <v>523226.56622726738</v>
      </c>
      <c r="G16" s="33">
        <v>0.86</v>
      </c>
      <c r="H16" s="35">
        <f t="shared" si="0"/>
        <v>449974.84695544996</v>
      </c>
      <c r="I16" s="155">
        <f t="shared" si="4"/>
        <v>29.099998066886386</v>
      </c>
      <c r="J16" s="28">
        <f t="shared" si="1"/>
        <v>10621.49929441353</v>
      </c>
      <c r="K16" s="31">
        <v>2.38</v>
      </c>
      <c r="L16" s="163">
        <f t="shared" si="2"/>
        <v>35896.419015399966</v>
      </c>
      <c r="M16" s="40"/>
      <c r="N16" s="533"/>
      <c r="O16" s="39"/>
      <c r="P16" s="39"/>
      <c r="Q16" s="39"/>
      <c r="R16" s="43"/>
      <c r="S16" s="43"/>
      <c r="T16" s="43"/>
      <c r="U16" s="43"/>
      <c r="V16" s="43"/>
      <c r="W16" s="43"/>
    </row>
    <row r="17" spans="3:23" x14ac:dyDescent="0.55000000000000004">
      <c r="C17" s="162">
        <v>12</v>
      </c>
      <c r="D17" s="27">
        <v>2038</v>
      </c>
      <c r="E17" s="155">
        <f t="shared" si="3"/>
        <v>1462.1673905529119</v>
      </c>
      <c r="F17" s="28">
        <f t="shared" si="3"/>
        <v>533691.09755181277</v>
      </c>
      <c r="G17" s="33">
        <v>0.86</v>
      </c>
      <c r="H17" s="35">
        <f t="shared" si="0"/>
        <v>458974.34389455896</v>
      </c>
      <c r="I17" s="155">
        <f t="shared" si="4"/>
        <v>29.681998028224115</v>
      </c>
      <c r="J17" s="28">
        <f t="shared" si="1"/>
        <v>10833.929280301802</v>
      </c>
      <c r="K17" s="31">
        <v>2.38</v>
      </c>
      <c r="L17" s="163">
        <f t="shared" si="2"/>
        <v>36614.347395707962</v>
      </c>
      <c r="M17" s="40"/>
      <c r="N17" s="533"/>
      <c r="O17" s="39"/>
      <c r="P17" s="39"/>
      <c r="Q17" s="39"/>
      <c r="R17" s="43"/>
      <c r="S17" s="43"/>
      <c r="T17" s="43"/>
      <c r="U17" s="43"/>
      <c r="V17" s="43"/>
      <c r="W17" s="43"/>
    </row>
    <row r="18" spans="3:23" x14ac:dyDescent="0.55000000000000004">
      <c r="C18" s="162">
        <v>13</v>
      </c>
      <c r="D18" s="27">
        <v>2039</v>
      </c>
      <c r="E18" s="155">
        <f t="shared" si="3"/>
        <v>1491.4107383639703</v>
      </c>
      <c r="F18" s="28">
        <f t="shared" si="3"/>
        <v>544364.91950284899</v>
      </c>
      <c r="G18" s="33">
        <v>0.86</v>
      </c>
      <c r="H18" s="35">
        <f t="shared" si="0"/>
        <v>468153.83077245014</v>
      </c>
      <c r="I18" s="155">
        <f t="shared" si="4"/>
        <v>30.275637988788599</v>
      </c>
      <c r="J18" s="28">
        <f t="shared" si="1"/>
        <v>11050.607865907839</v>
      </c>
      <c r="K18" s="31">
        <v>2.38</v>
      </c>
      <c r="L18" s="163">
        <f t="shared" si="2"/>
        <v>37346.634343622129</v>
      </c>
      <c r="M18" s="40"/>
      <c r="N18" s="533"/>
      <c r="O18" s="39"/>
      <c r="P18" s="39"/>
      <c r="Q18" s="39"/>
      <c r="R18" s="43"/>
      <c r="S18" s="43"/>
      <c r="T18" s="43"/>
      <c r="U18" s="43"/>
      <c r="V18" s="43"/>
      <c r="W18" s="43"/>
    </row>
    <row r="19" spans="3:23" x14ac:dyDescent="0.55000000000000004">
      <c r="C19" s="162">
        <v>14</v>
      </c>
      <c r="D19" s="27">
        <v>2040</v>
      </c>
      <c r="E19" s="155">
        <f t="shared" si="3"/>
        <v>1521.2389531312497</v>
      </c>
      <c r="F19" s="28">
        <f t="shared" si="3"/>
        <v>555252.21789290593</v>
      </c>
      <c r="G19" s="33">
        <v>0.86</v>
      </c>
      <c r="H19" s="35">
        <f t="shared" si="0"/>
        <v>477516.90738789912</v>
      </c>
      <c r="I19" s="155">
        <f t="shared" si="4"/>
        <v>30.881150748564373</v>
      </c>
      <c r="J19" s="28">
        <f t="shared" si="1"/>
        <v>11271.620023225996</v>
      </c>
      <c r="K19" s="31">
        <v>2.38</v>
      </c>
      <c r="L19" s="163">
        <f t="shared" si="2"/>
        <v>38093.567030494574</v>
      </c>
      <c r="M19" s="40"/>
      <c r="N19" s="533"/>
      <c r="O19" s="39"/>
      <c r="P19" s="39"/>
      <c r="Q19" s="39"/>
      <c r="R19" s="43"/>
      <c r="S19" s="43"/>
      <c r="T19" s="43"/>
      <c r="U19" s="43"/>
      <c r="V19" s="43"/>
      <c r="W19" s="43"/>
    </row>
    <row r="20" spans="3:23" x14ac:dyDescent="0.55000000000000004">
      <c r="C20" s="162">
        <v>15</v>
      </c>
      <c r="D20" s="27">
        <v>2041</v>
      </c>
      <c r="E20" s="155">
        <f t="shared" si="3"/>
        <v>1551.6637321938747</v>
      </c>
      <c r="F20" s="28">
        <f t="shared" si="3"/>
        <v>566357.26225076406</v>
      </c>
      <c r="G20" s="33">
        <v>0.86</v>
      </c>
      <c r="H20" s="35">
        <f t="shared" si="0"/>
        <v>487067.2455356571</v>
      </c>
      <c r="I20" s="155">
        <f t="shared" si="4"/>
        <v>31.498773763535659</v>
      </c>
      <c r="J20" s="28">
        <f t="shared" si="1"/>
        <v>11497.052423690515</v>
      </c>
      <c r="K20" s="31">
        <v>2.38</v>
      </c>
      <c r="L20" s="163">
        <f t="shared" si="2"/>
        <v>38855.438371104457</v>
      </c>
      <c r="M20" s="40"/>
      <c r="N20" s="533"/>
      <c r="O20" s="39"/>
      <c r="P20" s="39"/>
      <c r="Q20" s="39"/>
      <c r="R20" s="43"/>
      <c r="S20" s="43"/>
      <c r="T20" s="43"/>
      <c r="U20" s="43"/>
      <c r="V20" s="43"/>
      <c r="W20" s="43"/>
    </row>
    <row r="21" spans="3:23" x14ac:dyDescent="0.55000000000000004">
      <c r="C21" s="162">
        <v>16</v>
      </c>
      <c r="D21" s="27">
        <v>2042</v>
      </c>
      <c r="E21" s="155">
        <f t="shared" si="3"/>
        <v>1582.6970068377523</v>
      </c>
      <c r="F21" s="28">
        <f t="shared" si="3"/>
        <v>577684.40749577933</v>
      </c>
      <c r="G21" s="33">
        <v>0.86</v>
      </c>
      <c r="H21" s="35">
        <f t="shared" si="0"/>
        <v>496808.59044637025</v>
      </c>
      <c r="I21" s="155">
        <f t="shared" si="4"/>
        <v>32.128749238806371</v>
      </c>
      <c r="J21" s="28">
        <f t="shared" si="1"/>
        <v>11726.993472164326</v>
      </c>
      <c r="K21" s="31">
        <v>2.38</v>
      </c>
      <c r="L21" s="163">
        <f t="shared" si="2"/>
        <v>39632.547138526548</v>
      </c>
      <c r="M21" s="40"/>
      <c r="N21" s="533"/>
      <c r="O21" s="39"/>
      <c r="P21" s="39"/>
      <c r="Q21" s="39"/>
      <c r="R21" s="43"/>
      <c r="S21" s="43"/>
      <c r="T21" s="43"/>
      <c r="U21" s="43"/>
      <c r="V21" s="43"/>
      <c r="W21" s="43"/>
    </row>
    <row r="22" spans="3:23" x14ac:dyDescent="0.55000000000000004">
      <c r="C22" s="162">
        <v>17</v>
      </c>
      <c r="D22" s="27">
        <v>2043</v>
      </c>
      <c r="E22" s="155">
        <f t="shared" si="3"/>
        <v>1614.3509469745075</v>
      </c>
      <c r="F22" s="28">
        <f t="shared" si="3"/>
        <v>589238.09564569488</v>
      </c>
      <c r="G22" s="33">
        <v>0.86</v>
      </c>
      <c r="H22" s="35">
        <f t="shared" si="0"/>
        <v>506744.76225529757</v>
      </c>
      <c r="I22" s="155">
        <f t="shared" si="4"/>
        <v>32.771324223582496</v>
      </c>
      <c r="J22" s="28">
        <f t="shared" si="1"/>
        <v>11961.533341607612</v>
      </c>
      <c r="K22" s="31">
        <v>2.38</v>
      </c>
      <c r="L22" s="163">
        <f t="shared" si="2"/>
        <v>40425.19808129708</v>
      </c>
      <c r="M22" s="40"/>
      <c r="N22" s="533"/>
      <c r="O22" s="39"/>
      <c r="P22" s="39"/>
      <c r="Q22" s="39"/>
      <c r="R22" s="43"/>
      <c r="S22" s="43"/>
      <c r="T22" s="43"/>
      <c r="U22" s="43"/>
      <c r="V22" s="43"/>
      <c r="W22" s="43"/>
    </row>
    <row r="23" spans="3:23" x14ac:dyDescent="0.55000000000000004">
      <c r="C23" s="162">
        <v>18</v>
      </c>
      <c r="D23" s="27">
        <v>2044</v>
      </c>
      <c r="E23" s="155">
        <f t="shared" si="3"/>
        <v>1646.6379659139977</v>
      </c>
      <c r="F23" s="28">
        <f t="shared" si="3"/>
        <v>601022.85755860875</v>
      </c>
      <c r="G23" s="33">
        <v>0.86</v>
      </c>
      <c r="H23" s="35">
        <f t="shared" si="0"/>
        <v>516879.65750040353</v>
      </c>
      <c r="I23" s="155">
        <f t="shared" si="4"/>
        <v>33.426750708054144</v>
      </c>
      <c r="J23" s="28">
        <f t="shared" si="1"/>
        <v>12200.764008439763</v>
      </c>
      <c r="K23" s="31">
        <v>2.38</v>
      </c>
      <c r="L23" s="163">
        <f t="shared" si="2"/>
        <v>41233.702042923018</v>
      </c>
      <c r="M23" s="40"/>
      <c r="N23" s="533"/>
      <c r="O23" s="39"/>
      <c r="P23" s="39"/>
      <c r="Q23" s="39"/>
      <c r="R23" s="43"/>
      <c r="S23" s="43"/>
      <c r="T23" s="43"/>
      <c r="U23" s="43"/>
      <c r="V23" s="43"/>
      <c r="W23" s="43"/>
    </row>
    <row r="24" spans="3:23" x14ac:dyDescent="0.55000000000000004">
      <c r="C24" s="162">
        <v>19</v>
      </c>
      <c r="D24" s="27">
        <v>2045</v>
      </c>
      <c r="E24" s="155">
        <f t="shared" ref="E24:F25" si="5">E23*(1+$E$2)</f>
        <v>1679.5707252322777</v>
      </c>
      <c r="F24" s="28">
        <f t="shared" si="5"/>
        <v>613043.31470978097</v>
      </c>
      <c r="G24" s="33">
        <v>0.86</v>
      </c>
      <c r="H24" s="35">
        <f t="shared" si="0"/>
        <v>527217.25065041159</v>
      </c>
      <c r="I24" s="155">
        <f t="shared" si="4"/>
        <v>34.09528572221523</v>
      </c>
      <c r="J24" s="28">
        <f t="shared" si="1"/>
        <v>12444.779288608559</v>
      </c>
      <c r="K24" s="31">
        <v>2.38</v>
      </c>
      <c r="L24" s="163">
        <f t="shared" si="2"/>
        <v>42058.376083781484</v>
      </c>
      <c r="M24" s="40"/>
      <c r="N24" s="533"/>
      <c r="O24" s="39"/>
      <c r="P24" s="39"/>
      <c r="Q24" s="39"/>
      <c r="R24" s="43"/>
      <c r="S24" s="43"/>
      <c r="T24" s="43"/>
      <c r="U24" s="43"/>
      <c r="V24" s="43"/>
      <c r="W24" s="43"/>
    </row>
    <row r="25" spans="3:23" ht="14.7" thickBot="1" x14ac:dyDescent="0.6">
      <c r="C25" s="164">
        <v>20</v>
      </c>
      <c r="D25" s="165">
        <v>2046</v>
      </c>
      <c r="E25" s="166">
        <f t="shared" si="5"/>
        <v>1713.1621397369233</v>
      </c>
      <c r="F25" s="167">
        <f t="shared" si="5"/>
        <v>625304.18100397661</v>
      </c>
      <c r="G25" s="168">
        <v>0.86</v>
      </c>
      <c r="H25" s="169">
        <f t="shared" si="0"/>
        <v>537761.59566341992</v>
      </c>
      <c r="I25" s="166">
        <f t="shared" si="4"/>
        <v>34.777191436659535</v>
      </c>
      <c r="J25" s="167">
        <f t="shared" si="1"/>
        <v>12693.674874380731</v>
      </c>
      <c r="K25" s="170">
        <v>2.38</v>
      </c>
      <c r="L25" s="171">
        <f t="shared" si="2"/>
        <v>42899.543605457111</v>
      </c>
      <c r="M25" s="40"/>
      <c r="N25" s="533"/>
      <c r="O25" s="39"/>
      <c r="P25" s="39"/>
      <c r="Q25" s="39"/>
      <c r="R25" s="43"/>
      <c r="S25" s="43"/>
      <c r="T25" s="43"/>
      <c r="U25" s="43"/>
      <c r="V25" s="43"/>
      <c r="W25" s="43"/>
    </row>
    <row r="26" spans="3:23" ht="16.2" thickTop="1" thickBot="1" x14ac:dyDescent="0.65">
      <c r="G26" s="172" t="s">
        <v>176</v>
      </c>
      <c r="H26" s="760">
        <f>SUM(H6:H25)</f>
        <v>8969036.3445100896</v>
      </c>
      <c r="I26" s="173"/>
      <c r="J26" s="174"/>
      <c r="K26" s="174"/>
      <c r="L26" s="762">
        <f>SUM(L6:L25)</f>
        <v>715498.40833383473</v>
      </c>
      <c r="M26" s="40"/>
      <c r="N26" s="739">
        <f>H26+L26</f>
        <v>9684534.7528439239</v>
      </c>
      <c r="O26" s="39"/>
      <c r="P26" s="39"/>
      <c r="Q26" s="39"/>
      <c r="R26" s="43"/>
      <c r="S26" s="43"/>
      <c r="T26" s="43"/>
      <c r="U26" s="43"/>
      <c r="V26" s="43"/>
      <c r="W26" s="43"/>
    </row>
    <row r="27" spans="3:23" ht="14.7" thickTop="1" x14ac:dyDescent="0.55000000000000004">
      <c r="C27" s="10" t="s">
        <v>96</v>
      </c>
      <c r="J27" s="10"/>
      <c r="M27" s="40"/>
      <c r="N27" s="39"/>
      <c r="O27" s="39"/>
      <c r="P27" s="39"/>
      <c r="Q27" s="39"/>
      <c r="R27" s="43"/>
      <c r="S27" s="43"/>
      <c r="T27" s="43"/>
      <c r="U27" s="43"/>
      <c r="V27" s="43"/>
      <c r="W27" s="43"/>
    </row>
    <row r="28" spans="3:23" x14ac:dyDescent="0.55000000000000004"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O28" s="22"/>
      <c r="P28" s="22"/>
      <c r="Q28" s="22"/>
      <c r="R28" s="22"/>
      <c r="S28" s="22"/>
      <c r="T28" s="22"/>
      <c r="U28" s="22"/>
      <c r="V28" s="22"/>
      <c r="W28" s="22"/>
    </row>
    <row r="29" spans="3:23" x14ac:dyDescent="0.55000000000000004">
      <c r="C29" s="66"/>
      <c r="D29" s="206"/>
      <c r="E29" s="206"/>
      <c r="F29" s="22"/>
      <c r="G29" s="22"/>
      <c r="H29" s="22"/>
      <c r="I29" s="22"/>
      <c r="J29" s="22"/>
      <c r="K29" s="22"/>
      <c r="L29" s="22"/>
      <c r="M29" s="22"/>
      <c r="O29" s="22"/>
      <c r="P29" s="22"/>
      <c r="Q29" s="22"/>
      <c r="R29" s="22"/>
      <c r="S29" s="22"/>
      <c r="T29" s="22"/>
      <c r="U29" s="22"/>
      <c r="V29" s="22"/>
      <c r="W29" s="22"/>
    </row>
    <row r="30" spans="3:23" x14ac:dyDescent="0.55000000000000004">
      <c r="C30" s="66"/>
      <c r="D30" s="206"/>
      <c r="E30" s="206"/>
      <c r="F30" s="58"/>
      <c r="G30" s="22"/>
      <c r="H30" s="22"/>
      <c r="I30" s="22"/>
      <c r="J30" s="22"/>
      <c r="K30" s="22"/>
      <c r="L30" s="22"/>
      <c r="M30" s="22"/>
      <c r="O30" s="22"/>
      <c r="P30" s="22"/>
      <c r="Q30" s="22"/>
      <c r="R30" s="22"/>
      <c r="S30" s="22"/>
      <c r="T30" s="22"/>
      <c r="U30" s="22"/>
      <c r="V30" s="22"/>
      <c r="W30" s="22"/>
    </row>
    <row r="31" spans="3:23" x14ac:dyDescent="0.55000000000000004">
      <c r="C31" s="66"/>
      <c r="D31" s="206"/>
      <c r="E31" s="206"/>
      <c r="F31" s="58"/>
      <c r="G31" s="22"/>
      <c r="H31" s="22"/>
      <c r="I31" s="22"/>
      <c r="J31" s="22"/>
      <c r="K31" s="22"/>
      <c r="L31" s="22"/>
      <c r="M31" s="22"/>
      <c r="O31" s="22"/>
      <c r="P31" s="22"/>
      <c r="Q31" s="22"/>
      <c r="R31" s="22"/>
      <c r="S31" s="22"/>
      <c r="T31" s="22"/>
      <c r="U31" s="22"/>
      <c r="V31" s="22"/>
      <c r="W31" s="22"/>
    </row>
    <row r="32" spans="3:23" x14ac:dyDescent="0.55000000000000004">
      <c r="D32" s="206"/>
      <c r="E32" s="206"/>
      <c r="F32" s="22"/>
      <c r="G32" s="22"/>
      <c r="H32" s="22"/>
      <c r="I32" s="22"/>
      <c r="J32" s="22"/>
      <c r="K32" s="22"/>
      <c r="L32" s="22"/>
      <c r="M32" s="22"/>
      <c r="O32" s="22"/>
      <c r="P32" s="22"/>
      <c r="Q32" s="22"/>
      <c r="R32" s="22"/>
      <c r="S32" s="22"/>
      <c r="T32" s="22"/>
      <c r="U32" s="22"/>
      <c r="V32" s="22"/>
      <c r="W32" s="22"/>
    </row>
    <row r="33" spans="3:23" x14ac:dyDescent="0.55000000000000004"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O33" s="22"/>
      <c r="P33" s="22"/>
      <c r="Q33" s="22"/>
      <c r="R33" s="22"/>
      <c r="S33" s="22"/>
      <c r="T33" s="22"/>
      <c r="U33" s="22"/>
      <c r="V33" s="22"/>
      <c r="W33" s="22"/>
    </row>
    <row r="34" spans="3:23" x14ac:dyDescent="0.55000000000000004"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O34" s="22"/>
      <c r="P34" s="22"/>
      <c r="Q34" s="22"/>
      <c r="R34" s="22"/>
      <c r="S34" s="22"/>
      <c r="T34" s="22"/>
      <c r="U34" s="22"/>
      <c r="V34" s="22"/>
      <c r="W34" s="22"/>
    </row>
    <row r="35" spans="3:23" x14ac:dyDescent="0.55000000000000004"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22"/>
      <c r="O35" s="22"/>
      <c r="P35" s="22"/>
      <c r="Q35" s="22"/>
      <c r="R35" s="22"/>
      <c r="S35" s="22"/>
      <c r="T35" s="22"/>
      <c r="U35" s="22"/>
      <c r="V35" s="22"/>
      <c r="W35" s="22"/>
    </row>
    <row r="36" spans="3:23" x14ac:dyDescent="0.55000000000000004"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22"/>
      <c r="O36" s="22"/>
      <c r="P36" s="22"/>
      <c r="Q36" s="22"/>
      <c r="R36" s="22"/>
      <c r="S36" s="22"/>
      <c r="T36" s="22"/>
      <c r="U36" s="22"/>
      <c r="V36" s="22"/>
      <c r="W36" s="22"/>
    </row>
    <row r="37" spans="3:23" x14ac:dyDescent="0.55000000000000004">
      <c r="C37" s="153"/>
      <c r="D37" s="153"/>
      <c r="E37" s="153"/>
      <c r="F37" s="153"/>
      <c r="G37" s="153"/>
      <c r="H37" s="153"/>
      <c r="I37" s="153"/>
      <c r="J37" s="153"/>
      <c r="K37" s="153"/>
      <c r="L37" s="153"/>
      <c r="M37" s="22"/>
      <c r="O37" s="22"/>
      <c r="P37" s="22"/>
      <c r="Q37" s="22"/>
      <c r="R37" s="22"/>
      <c r="S37" s="22"/>
      <c r="T37" s="22"/>
      <c r="U37" s="22"/>
      <c r="V37" s="22"/>
      <c r="W37" s="22"/>
    </row>
    <row r="38" spans="3:23" x14ac:dyDescent="0.55000000000000004"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22"/>
      <c r="O38" s="22"/>
      <c r="P38" s="22"/>
      <c r="Q38" s="22"/>
      <c r="R38" s="22"/>
      <c r="S38" s="22"/>
      <c r="T38" s="22"/>
      <c r="U38" s="22"/>
      <c r="V38" s="22"/>
      <c r="W38" s="22"/>
    </row>
    <row r="39" spans="3:23" x14ac:dyDescent="0.55000000000000004"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22"/>
      <c r="O39" s="22"/>
      <c r="P39" s="22"/>
      <c r="Q39" s="22"/>
      <c r="R39" s="22"/>
      <c r="S39" s="22"/>
      <c r="T39" s="22"/>
      <c r="U39" s="22"/>
      <c r="V39" s="22"/>
      <c r="W39" s="22"/>
    </row>
    <row r="40" spans="3:23" x14ac:dyDescent="0.55000000000000004">
      <c r="C40" s="154"/>
      <c r="D40" s="154"/>
      <c r="E40" s="154"/>
      <c r="F40" s="154"/>
      <c r="G40" s="154"/>
      <c r="H40" s="154"/>
      <c r="I40" s="154"/>
      <c r="J40" s="154"/>
      <c r="K40" s="154"/>
      <c r="L40" s="154"/>
    </row>
    <row r="41" spans="3:23" x14ac:dyDescent="0.55000000000000004">
      <c r="C41" s="154"/>
      <c r="D41" s="154"/>
      <c r="E41" s="154"/>
      <c r="F41" s="154"/>
      <c r="G41" s="154"/>
      <c r="H41" s="154"/>
      <c r="I41" s="154"/>
      <c r="J41" s="154"/>
      <c r="K41" s="154"/>
      <c r="L41" s="154"/>
    </row>
    <row r="42" spans="3:23" x14ac:dyDescent="0.55000000000000004">
      <c r="C42" s="154"/>
      <c r="D42" s="154"/>
      <c r="E42" s="154"/>
      <c r="F42" s="154"/>
      <c r="G42" s="154"/>
      <c r="H42" s="154"/>
      <c r="I42" s="154"/>
      <c r="J42" s="154"/>
      <c r="K42" s="154"/>
      <c r="L42" s="154"/>
    </row>
    <row r="43" spans="3:23" x14ac:dyDescent="0.55000000000000004">
      <c r="C43" s="154"/>
      <c r="D43" s="154"/>
      <c r="E43" s="154"/>
      <c r="F43" s="154"/>
      <c r="G43" s="154"/>
      <c r="H43" s="154"/>
      <c r="I43" s="154"/>
      <c r="J43" s="154"/>
      <c r="K43" s="154"/>
      <c r="L43" s="154"/>
    </row>
    <row r="44" spans="3:23" x14ac:dyDescent="0.55000000000000004">
      <c r="C44" s="154"/>
      <c r="D44" s="154"/>
      <c r="E44" s="154"/>
      <c r="F44" s="154"/>
      <c r="G44" s="154"/>
      <c r="H44" s="154"/>
      <c r="I44" s="154"/>
      <c r="J44" s="154"/>
      <c r="K44" s="154"/>
      <c r="L44" s="154"/>
    </row>
    <row r="45" spans="3:23" x14ac:dyDescent="0.55000000000000004">
      <c r="C45" s="154"/>
      <c r="D45" s="154"/>
      <c r="E45" s="154"/>
      <c r="F45" s="154"/>
      <c r="G45" s="154"/>
      <c r="H45" s="154"/>
      <c r="I45" s="154"/>
      <c r="J45" s="154"/>
      <c r="K45" s="154"/>
      <c r="L45" s="154"/>
    </row>
    <row r="46" spans="3:23" x14ac:dyDescent="0.55000000000000004">
      <c r="C46" s="154"/>
      <c r="D46" s="154"/>
      <c r="E46" s="154"/>
      <c r="F46" s="154"/>
      <c r="G46" s="154"/>
      <c r="H46" s="154"/>
      <c r="I46" s="154"/>
      <c r="J46" s="154"/>
      <c r="K46" s="154"/>
      <c r="L46" s="154"/>
    </row>
    <row r="47" spans="3:23" x14ac:dyDescent="0.55000000000000004">
      <c r="C47" s="154"/>
      <c r="D47" s="154"/>
      <c r="E47" s="154"/>
      <c r="F47" s="154"/>
      <c r="G47" s="154"/>
      <c r="H47" s="154"/>
      <c r="I47" s="154"/>
      <c r="J47" s="154"/>
      <c r="K47" s="154"/>
      <c r="L47" s="154"/>
    </row>
    <row r="48" spans="3:23" x14ac:dyDescent="0.55000000000000004">
      <c r="C48" s="154"/>
      <c r="D48" s="154"/>
      <c r="E48" s="154"/>
      <c r="F48" s="154"/>
      <c r="G48" s="154"/>
      <c r="H48" s="154"/>
      <c r="I48" s="154"/>
      <c r="J48" s="154"/>
      <c r="K48" s="154"/>
      <c r="L48" s="154"/>
    </row>
    <row r="49" spans="3:12" x14ac:dyDescent="0.55000000000000004">
      <c r="C49" s="154"/>
      <c r="D49" s="154"/>
      <c r="E49" s="154"/>
      <c r="F49" s="154"/>
      <c r="G49" s="154"/>
      <c r="H49" s="154"/>
      <c r="I49" s="154"/>
      <c r="J49" s="154"/>
      <c r="K49" s="154"/>
      <c r="L49" s="154"/>
    </row>
    <row r="50" spans="3:12" x14ac:dyDescent="0.55000000000000004">
      <c r="C50" s="154"/>
      <c r="D50" s="154"/>
      <c r="E50" s="154"/>
      <c r="F50" s="154"/>
      <c r="G50" s="154"/>
      <c r="H50" s="154"/>
      <c r="I50" s="154"/>
      <c r="J50" s="154"/>
      <c r="K50" s="154"/>
      <c r="L50" s="154"/>
    </row>
    <row r="51" spans="3:12" x14ac:dyDescent="0.55000000000000004">
      <c r="C51" s="154"/>
      <c r="D51" s="154"/>
      <c r="E51" s="154"/>
      <c r="F51" s="154"/>
      <c r="G51" s="154"/>
      <c r="H51" s="154"/>
      <c r="I51" s="154"/>
      <c r="J51" s="154"/>
      <c r="K51" s="154"/>
      <c r="L51" s="154"/>
    </row>
    <row r="52" spans="3:12" x14ac:dyDescent="0.55000000000000004">
      <c r="C52" s="154"/>
      <c r="D52" s="154"/>
      <c r="E52" s="154"/>
      <c r="F52" s="154"/>
      <c r="G52" s="154"/>
      <c r="H52" s="154"/>
      <c r="I52" s="154"/>
      <c r="J52" s="154"/>
      <c r="K52" s="154"/>
      <c r="L52" s="154"/>
    </row>
    <row r="53" spans="3:12" x14ac:dyDescent="0.55000000000000004">
      <c r="C53" s="154"/>
      <c r="D53" s="154"/>
      <c r="E53" s="154"/>
      <c r="F53" s="154"/>
      <c r="G53" s="154"/>
      <c r="H53" s="154"/>
      <c r="I53" s="154"/>
      <c r="J53" s="154"/>
      <c r="K53" s="154"/>
      <c r="L53" s="154"/>
    </row>
    <row r="54" spans="3:12" x14ac:dyDescent="0.55000000000000004">
      <c r="C54" s="154"/>
      <c r="D54" s="154"/>
      <c r="E54" s="154"/>
      <c r="F54" s="154"/>
      <c r="G54" s="154"/>
      <c r="H54" s="154"/>
      <c r="I54" s="154"/>
      <c r="J54" s="154"/>
      <c r="K54" s="154"/>
      <c r="L54" s="154"/>
    </row>
    <row r="55" spans="3:12" x14ac:dyDescent="0.55000000000000004">
      <c r="C55" s="154"/>
      <c r="D55" s="154"/>
      <c r="E55" s="154"/>
      <c r="F55" s="154"/>
      <c r="G55" s="154"/>
      <c r="H55" s="154"/>
      <c r="I55" s="154"/>
      <c r="J55" s="154"/>
      <c r="K55" s="154"/>
      <c r="L55" s="154"/>
    </row>
  </sheetData>
  <mergeCells count="6">
    <mergeCell ref="P4:R4"/>
    <mergeCell ref="C1:E1"/>
    <mergeCell ref="J1:L1"/>
    <mergeCell ref="C2:D2"/>
    <mergeCell ref="J2:K2"/>
    <mergeCell ref="C4:L4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FC853-BB43-4F10-9EA9-7E7BA5623461}">
  <sheetPr>
    <tabColor theme="0" tint="-0.249977111117893"/>
  </sheetPr>
  <dimension ref="A1:O56"/>
  <sheetViews>
    <sheetView workbookViewId="0">
      <selection sqref="A1:D1"/>
    </sheetView>
  </sheetViews>
  <sheetFormatPr defaultRowHeight="14.4" x14ac:dyDescent="0.55000000000000004"/>
  <cols>
    <col min="1" max="1" width="12.41796875" customWidth="1"/>
    <col min="2" max="2" width="16" customWidth="1"/>
    <col min="3" max="3" width="15.26171875" customWidth="1"/>
    <col min="4" max="4" width="17.41796875" customWidth="1"/>
    <col min="12" max="12" width="28.578125" customWidth="1"/>
  </cols>
  <sheetData>
    <row r="1" spans="1:15" ht="14.7" thickBot="1" x14ac:dyDescent="0.6">
      <c r="A1" s="925" t="s">
        <v>280</v>
      </c>
      <c r="B1" s="925"/>
      <c r="C1" s="925"/>
      <c r="D1" s="925"/>
    </row>
    <row r="2" spans="1:15" ht="14.7" thickBot="1" x14ac:dyDescent="0.6">
      <c r="A2" s="926" t="s">
        <v>173</v>
      </c>
      <c r="B2" s="927"/>
      <c r="C2" s="927"/>
      <c r="D2" s="928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 x14ac:dyDescent="0.55000000000000004">
      <c r="A3" s="497" t="s">
        <v>169</v>
      </c>
      <c r="B3" s="498"/>
      <c r="C3" s="312"/>
      <c r="D3" s="156">
        <v>0.02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 ht="14.7" thickBot="1" x14ac:dyDescent="0.6">
      <c r="A4" s="313" t="s">
        <v>278</v>
      </c>
      <c r="B4" s="314"/>
      <c r="C4" s="315"/>
      <c r="D4" s="763">
        <f>'TRIP GENERATION'!E44</f>
        <v>23.872133940540547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14.7" thickTop="1" x14ac:dyDescent="0.55000000000000004">
      <c r="A5" s="923"/>
      <c r="B5" s="923"/>
      <c r="C5" s="923"/>
      <c r="D5" s="924"/>
      <c r="E5" s="19"/>
      <c r="F5" s="19"/>
      <c r="G5" s="19"/>
      <c r="H5" s="916"/>
      <c r="I5" s="916"/>
      <c r="J5" s="916"/>
      <c r="K5" s="19"/>
      <c r="L5" s="19"/>
      <c r="M5" s="19"/>
      <c r="N5" s="19"/>
      <c r="O5" s="19"/>
    </row>
    <row r="6" spans="1:15" ht="43.2" x14ac:dyDescent="0.55000000000000004">
      <c r="A6" s="45" t="s">
        <v>170</v>
      </c>
      <c r="B6" s="45" t="s">
        <v>175</v>
      </c>
      <c r="C6" s="36" t="s">
        <v>279</v>
      </c>
      <c r="D6" s="161" t="s">
        <v>93</v>
      </c>
      <c r="E6" s="19"/>
      <c r="F6" s="19"/>
      <c r="G6" s="19"/>
      <c r="H6" s="37"/>
      <c r="I6" s="37"/>
      <c r="J6" s="37"/>
      <c r="K6" s="19"/>
      <c r="L6" s="19"/>
      <c r="M6" s="19"/>
      <c r="N6" s="19"/>
      <c r="O6" s="19"/>
    </row>
    <row r="7" spans="1:15" x14ac:dyDescent="0.55000000000000004">
      <c r="A7" s="155">
        <f>$D$4*2</f>
        <v>47.744267881081093</v>
      </c>
      <c r="B7" s="28">
        <f>A7*50*5*2</f>
        <v>23872.133940540549</v>
      </c>
      <c r="C7" s="31">
        <v>12</v>
      </c>
      <c r="D7" s="163">
        <f>B7*C7</f>
        <v>286465.6072864866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x14ac:dyDescent="0.55000000000000004">
      <c r="A8" s="155">
        <f t="shared" ref="A8:A26" si="0">A7*(1+$D$3)</f>
        <v>48.699153238702714</v>
      </c>
      <c r="B8" s="28">
        <f t="shared" ref="B8:B26" si="1">A8*50*5*2</f>
        <v>24349.576619351355</v>
      </c>
      <c r="C8" s="31">
        <v>12</v>
      </c>
      <c r="D8" s="163">
        <f t="shared" ref="D8:D26" si="2">B8*C8</f>
        <v>292194.91943221627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 x14ac:dyDescent="0.55000000000000004">
      <c r="A9" s="155">
        <f t="shared" si="0"/>
        <v>49.673136303476767</v>
      </c>
      <c r="B9" s="28">
        <f t="shared" si="1"/>
        <v>24836.568151738385</v>
      </c>
      <c r="C9" s="31">
        <v>12</v>
      </c>
      <c r="D9" s="163">
        <f t="shared" si="2"/>
        <v>298038.81782086066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 x14ac:dyDescent="0.55000000000000004">
      <c r="A10" s="155">
        <f t="shared" si="0"/>
        <v>50.666599029546305</v>
      </c>
      <c r="B10" s="28">
        <f t="shared" si="1"/>
        <v>25333.299514773153</v>
      </c>
      <c r="C10" s="31">
        <v>12</v>
      </c>
      <c r="D10" s="163">
        <f t="shared" si="2"/>
        <v>303999.59417727782</v>
      </c>
      <c r="E10" s="42"/>
      <c r="F10" s="42"/>
      <c r="G10" s="42"/>
      <c r="H10" s="42"/>
      <c r="I10" s="42"/>
      <c r="J10" s="19"/>
      <c r="K10" s="19"/>
      <c r="L10" s="19"/>
      <c r="M10" s="19"/>
      <c r="N10" s="19"/>
      <c r="O10" s="19"/>
    </row>
    <row r="11" spans="1:15" x14ac:dyDescent="0.55000000000000004">
      <c r="A11" s="155">
        <f t="shared" si="0"/>
        <v>51.679931010137231</v>
      </c>
      <c r="B11" s="28">
        <f t="shared" si="1"/>
        <v>25839.965505068616</v>
      </c>
      <c r="C11" s="31">
        <v>12</v>
      </c>
      <c r="D11" s="163">
        <f t="shared" si="2"/>
        <v>310079.58606082341</v>
      </c>
      <c r="E11" s="41"/>
      <c r="F11" s="41"/>
      <c r="G11" s="41"/>
      <c r="H11" s="41"/>
      <c r="I11" s="41"/>
      <c r="J11" s="19"/>
      <c r="K11" s="19"/>
      <c r="L11" s="19"/>
      <c r="M11" s="19"/>
      <c r="N11" s="19"/>
      <c r="O11" s="19"/>
    </row>
    <row r="12" spans="1:15" x14ac:dyDescent="0.55000000000000004">
      <c r="A12" s="155">
        <f t="shared" si="0"/>
        <v>52.713529630339977</v>
      </c>
      <c r="B12" s="28">
        <f t="shared" si="1"/>
        <v>26356.76481516999</v>
      </c>
      <c r="C12" s="31">
        <v>12</v>
      </c>
      <c r="D12" s="163">
        <f t="shared" si="2"/>
        <v>316281.17778203986</v>
      </c>
      <c r="E12" s="41"/>
      <c r="F12" s="37"/>
      <c r="G12" s="37"/>
      <c r="H12" s="37"/>
      <c r="I12" s="37"/>
      <c r="J12" s="19"/>
      <c r="K12" s="19"/>
      <c r="L12" s="19"/>
      <c r="M12" s="19"/>
      <c r="N12" s="19"/>
      <c r="O12" s="19"/>
    </row>
    <row r="13" spans="1:15" x14ac:dyDescent="0.55000000000000004">
      <c r="A13" s="155">
        <f t="shared" si="0"/>
        <v>53.767800222946775</v>
      </c>
      <c r="B13" s="28">
        <f t="shared" si="1"/>
        <v>26883.900111473384</v>
      </c>
      <c r="C13" s="31">
        <v>12</v>
      </c>
      <c r="D13" s="163">
        <f t="shared" si="2"/>
        <v>322606.8013376806</v>
      </c>
      <c r="E13" s="38"/>
      <c r="F13" s="39"/>
      <c r="G13" s="39"/>
      <c r="H13" s="39"/>
      <c r="I13" s="39"/>
      <c r="J13" s="44"/>
      <c r="K13" s="44"/>
      <c r="L13" s="44"/>
      <c r="M13" s="44"/>
      <c r="N13" s="44"/>
      <c r="O13" s="44"/>
    </row>
    <row r="14" spans="1:15" ht="14.5" customHeight="1" x14ac:dyDescent="0.55000000000000004">
      <c r="A14" s="155">
        <f t="shared" si="0"/>
        <v>54.843156227405714</v>
      </c>
      <c r="B14" s="28">
        <f t="shared" si="1"/>
        <v>27421.578113702857</v>
      </c>
      <c r="C14" s="31">
        <v>12</v>
      </c>
      <c r="D14" s="163">
        <f t="shared" si="2"/>
        <v>329058.9373644343</v>
      </c>
      <c r="E14" s="40"/>
      <c r="F14" s="39"/>
      <c r="G14" s="39"/>
      <c r="H14" s="39"/>
      <c r="I14" s="39"/>
      <c r="J14" s="43"/>
      <c r="K14" s="43"/>
      <c r="L14" s="43"/>
      <c r="M14" s="43"/>
      <c r="N14" s="43"/>
      <c r="O14" s="43"/>
    </row>
    <row r="15" spans="1:15" x14ac:dyDescent="0.55000000000000004">
      <c r="A15" s="155">
        <f t="shared" si="0"/>
        <v>55.940019351953829</v>
      </c>
      <c r="B15" s="28">
        <f t="shared" si="1"/>
        <v>27970.009675976915</v>
      </c>
      <c r="C15" s="31">
        <v>12</v>
      </c>
      <c r="D15" s="163">
        <f t="shared" si="2"/>
        <v>335640.11611172301</v>
      </c>
      <c r="E15" s="40"/>
      <c r="F15" s="39"/>
      <c r="G15" s="39"/>
      <c r="H15" s="39"/>
      <c r="I15" s="39"/>
      <c r="J15" s="43"/>
      <c r="K15" s="43"/>
      <c r="L15" s="43"/>
      <c r="M15" s="43"/>
      <c r="N15" s="43"/>
      <c r="O15" s="43"/>
    </row>
    <row r="16" spans="1:15" x14ac:dyDescent="0.55000000000000004">
      <c r="A16" s="155">
        <f t="shared" si="0"/>
        <v>57.058819738992909</v>
      </c>
      <c r="B16" s="28">
        <f t="shared" si="1"/>
        <v>28529.409869496452</v>
      </c>
      <c r="C16" s="31">
        <v>12</v>
      </c>
      <c r="D16" s="163">
        <f t="shared" si="2"/>
        <v>342352.91843395744</v>
      </c>
      <c r="E16" s="40"/>
      <c r="F16" s="39"/>
      <c r="G16" s="39"/>
      <c r="H16" s="39"/>
      <c r="I16" s="39"/>
      <c r="J16" s="43"/>
      <c r="K16" s="43"/>
      <c r="L16" s="43"/>
      <c r="M16" s="43"/>
      <c r="N16" s="43"/>
      <c r="O16" s="43"/>
    </row>
    <row r="17" spans="1:15" x14ac:dyDescent="0.55000000000000004">
      <c r="A17" s="155">
        <f t="shared" si="0"/>
        <v>58.199996133772771</v>
      </c>
      <c r="B17" s="28">
        <f t="shared" si="1"/>
        <v>29099.998066886386</v>
      </c>
      <c r="C17" s="31">
        <v>12</v>
      </c>
      <c r="D17" s="163">
        <f t="shared" si="2"/>
        <v>349199.97680263664</v>
      </c>
      <c r="E17" s="40"/>
      <c r="F17" s="39"/>
      <c r="G17" s="39"/>
      <c r="H17" s="39"/>
      <c r="I17" s="39"/>
      <c r="J17" s="43"/>
      <c r="K17" s="43"/>
      <c r="L17" s="43"/>
      <c r="M17" s="43"/>
      <c r="N17" s="43"/>
      <c r="O17" s="43"/>
    </row>
    <row r="18" spans="1:15" x14ac:dyDescent="0.55000000000000004">
      <c r="A18" s="155">
        <f t="shared" si="0"/>
        <v>59.363996056448229</v>
      </c>
      <c r="B18" s="28">
        <f t="shared" si="1"/>
        <v>29681.998028224116</v>
      </c>
      <c r="C18" s="31">
        <v>12</v>
      </c>
      <c r="D18" s="163">
        <f t="shared" si="2"/>
        <v>356183.97633868939</v>
      </c>
      <c r="E18" s="40"/>
      <c r="F18" s="39"/>
      <c r="G18" s="39"/>
      <c r="H18" s="39"/>
      <c r="I18" s="39"/>
      <c r="J18" s="43"/>
      <c r="K18" s="43"/>
      <c r="L18" s="43"/>
      <c r="M18" s="43"/>
      <c r="N18" s="43"/>
      <c r="O18" s="43"/>
    </row>
    <row r="19" spans="1:15" x14ac:dyDescent="0.55000000000000004">
      <c r="A19" s="155">
        <f t="shared" si="0"/>
        <v>60.551275977577198</v>
      </c>
      <c r="B19" s="28">
        <f t="shared" si="1"/>
        <v>30275.6379887886</v>
      </c>
      <c r="C19" s="31">
        <v>12</v>
      </c>
      <c r="D19" s="163">
        <f t="shared" si="2"/>
        <v>363307.6558654632</v>
      </c>
      <c r="E19" s="40"/>
      <c r="F19" s="39"/>
      <c r="G19" s="39"/>
      <c r="H19" s="39"/>
      <c r="I19" s="39"/>
      <c r="J19" s="43"/>
      <c r="K19" s="43"/>
      <c r="L19" s="43"/>
      <c r="M19" s="43"/>
      <c r="N19" s="43"/>
      <c r="O19" s="43"/>
    </row>
    <row r="20" spans="1:15" x14ac:dyDescent="0.55000000000000004">
      <c r="A20" s="155">
        <f t="shared" si="0"/>
        <v>61.762301497128746</v>
      </c>
      <c r="B20" s="28">
        <f t="shared" si="1"/>
        <v>30881.150748564374</v>
      </c>
      <c r="C20" s="31">
        <v>12</v>
      </c>
      <c r="D20" s="163">
        <f t="shared" si="2"/>
        <v>370573.80898277252</v>
      </c>
      <c r="E20" s="40"/>
      <c r="F20" s="39"/>
      <c r="G20" s="39"/>
      <c r="H20" s="39"/>
      <c r="I20" s="39"/>
      <c r="J20" s="43"/>
      <c r="K20" s="43"/>
      <c r="L20" s="43"/>
      <c r="M20" s="43"/>
      <c r="N20" s="43"/>
      <c r="O20" s="43"/>
    </row>
    <row r="21" spans="1:15" x14ac:dyDescent="0.55000000000000004">
      <c r="A21" s="155">
        <f t="shared" si="0"/>
        <v>62.997547527071319</v>
      </c>
      <c r="B21" s="28">
        <f t="shared" si="1"/>
        <v>31498.773763535661</v>
      </c>
      <c r="C21" s="31">
        <v>12</v>
      </c>
      <c r="D21" s="163">
        <f t="shared" si="2"/>
        <v>377985.28516242793</v>
      </c>
      <c r="E21" s="40"/>
      <c r="F21" s="39"/>
      <c r="G21" s="39"/>
      <c r="H21" s="39"/>
      <c r="I21" s="39"/>
      <c r="J21" s="43"/>
      <c r="K21" s="43"/>
      <c r="L21" s="43"/>
      <c r="M21" s="43"/>
      <c r="N21" s="43"/>
      <c r="O21" s="43"/>
    </row>
    <row r="22" spans="1:15" x14ac:dyDescent="0.55000000000000004">
      <c r="A22" s="155">
        <f t="shared" si="0"/>
        <v>64.257498477612742</v>
      </c>
      <c r="B22" s="28">
        <f t="shared" si="1"/>
        <v>32128.749238806373</v>
      </c>
      <c r="C22" s="31">
        <v>12</v>
      </c>
      <c r="D22" s="163">
        <f t="shared" si="2"/>
        <v>385544.99086567649</v>
      </c>
      <c r="E22" s="40"/>
      <c r="F22" s="39"/>
      <c r="G22" s="39"/>
      <c r="H22" s="39"/>
      <c r="I22" s="39"/>
      <c r="J22" s="43"/>
      <c r="K22" s="43"/>
      <c r="L22" s="43"/>
      <c r="M22" s="43"/>
      <c r="N22" s="43"/>
      <c r="O22" s="43"/>
    </row>
    <row r="23" spans="1:15" x14ac:dyDescent="0.55000000000000004">
      <c r="A23" s="155">
        <f t="shared" si="0"/>
        <v>65.542648447164993</v>
      </c>
      <c r="B23" s="28">
        <f t="shared" si="1"/>
        <v>32771.324223582495</v>
      </c>
      <c r="C23" s="31">
        <v>12</v>
      </c>
      <c r="D23" s="163">
        <f t="shared" si="2"/>
        <v>393255.89068298996</v>
      </c>
      <c r="E23" s="40"/>
      <c r="F23" s="39"/>
      <c r="G23" s="39"/>
      <c r="H23" s="39"/>
      <c r="I23" s="39"/>
      <c r="J23" s="43"/>
      <c r="K23" s="43"/>
      <c r="L23" s="43"/>
      <c r="M23" s="43"/>
      <c r="N23" s="43"/>
      <c r="O23" s="43"/>
    </row>
    <row r="24" spans="1:15" x14ac:dyDescent="0.55000000000000004">
      <c r="A24" s="155">
        <f t="shared" si="0"/>
        <v>66.853501416108287</v>
      </c>
      <c r="B24" s="28">
        <f t="shared" si="1"/>
        <v>33426.75070805414</v>
      </c>
      <c r="C24" s="31">
        <v>12</v>
      </c>
      <c r="D24" s="163">
        <f t="shared" si="2"/>
        <v>401121.00849664968</v>
      </c>
      <c r="E24" s="40"/>
      <c r="F24" s="39"/>
      <c r="G24" s="39"/>
      <c r="H24" s="39"/>
      <c r="I24" s="39"/>
      <c r="J24" s="43"/>
      <c r="K24" s="43"/>
      <c r="L24" s="43"/>
      <c r="M24" s="43"/>
      <c r="N24" s="43"/>
      <c r="O24" s="43"/>
    </row>
    <row r="25" spans="1:15" x14ac:dyDescent="0.55000000000000004">
      <c r="A25" s="155">
        <f t="shared" si="0"/>
        <v>68.190571444430461</v>
      </c>
      <c r="B25" s="28">
        <f t="shared" si="1"/>
        <v>34095.285722215231</v>
      </c>
      <c r="C25" s="31">
        <v>12</v>
      </c>
      <c r="D25" s="163">
        <f t="shared" si="2"/>
        <v>409143.4286665828</v>
      </c>
      <c r="E25" s="40"/>
      <c r="F25" s="39"/>
      <c r="G25" s="39"/>
      <c r="H25" s="39"/>
      <c r="I25" s="39"/>
      <c r="J25" s="43"/>
      <c r="K25" s="43"/>
      <c r="L25" s="43"/>
      <c r="M25" s="43"/>
      <c r="N25" s="43"/>
      <c r="O25" s="43"/>
    </row>
    <row r="26" spans="1:15" ht="14.7" thickBot="1" x14ac:dyDescent="0.6">
      <c r="A26" s="166">
        <f t="shared" si="0"/>
        <v>69.554382873319071</v>
      </c>
      <c r="B26" s="167">
        <f t="shared" si="1"/>
        <v>34777.191436659537</v>
      </c>
      <c r="C26" s="170">
        <v>12</v>
      </c>
      <c r="D26" s="171">
        <f t="shared" si="2"/>
        <v>417326.29723991442</v>
      </c>
      <c r="E26" s="40"/>
      <c r="F26" s="39"/>
      <c r="G26" s="39"/>
      <c r="H26" s="39"/>
      <c r="I26" s="39"/>
      <c r="J26" s="43"/>
      <c r="K26" s="43"/>
      <c r="L26" s="43"/>
      <c r="M26" s="43"/>
      <c r="N26" s="43"/>
      <c r="O26" s="43"/>
    </row>
    <row r="27" spans="1:15" ht="16.2" thickTop="1" thickBot="1" x14ac:dyDescent="0.65">
      <c r="A27" s="173"/>
      <c r="B27" s="174"/>
      <c r="C27" s="174"/>
      <c r="D27" s="764">
        <f>SUM(D7:D26)</f>
        <v>6960360.7949113026</v>
      </c>
      <c r="E27" s="40"/>
      <c r="F27" s="39"/>
      <c r="G27" s="39"/>
      <c r="H27" s="39"/>
      <c r="I27" s="39"/>
      <c r="J27" s="43"/>
      <c r="K27" s="43"/>
      <c r="L27" s="43"/>
      <c r="M27" s="43"/>
      <c r="N27" s="43"/>
      <c r="O27" s="43"/>
    </row>
    <row r="28" spans="1:15" ht="14.7" thickTop="1" x14ac:dyDescent="0.55000000000000004">
      <c r="A28" s="10" t="s">
        <v>277</v>
      </c>
      <c r="E28" s="40"/>
      <c r="F28" s="39"/>
      <c r="G28" s="39"/>
      <c r="H28" s="39"/>
      <c r="I28" s="39"/>
      <c r="J28" s="43"/>
      <c r="K28" s="43"/>
      <c r="L28" s="43"/>
      <c r="M28" s="43"/>
      <c r="N28" s="43"/>
      <c r="O28" s="43"/>
    </row>
    <row r="29" spans="1:15" x14ac:dyDescent="0.55000000000000004">
      <c r="A29" s="316" t="s">
        <v>282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1:15" x14ac:dyDescent="0.55000000000000004">
      <c r="A30" s="317" t="s">
        <v>281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1:15" x14ac:dyDescent="0.55000000000000004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1:15" x14ac:dyDescent="0.55000000000000004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1:15" x14ac:dyDescent="0.55000000000000004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</row>
    <row r="34" spans="1:15" x14ac:dyDescent="0.55000000000000004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</row>
    <row r="35" spans="1:15" x14ac:dyDescent="0.55000000000000004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x14ac:dyDescent="0.55000000000000004">
      <c r="A36" s="153"/>
      <c r="B36" s="153"/>
      <c r="C36" s="153"/>
      <c r="D36" s="153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15" x14ac:dyDescent="0.55000000000000004">
      <c r="A37" s="153"/>
      <c r="B37" s="153"/>
      <c r="C37" s="153"/>
      <c r="D37" s="153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</row>
    <row r="38" spans="1:15" x14ac:dyDescent="0.55000000000000004">
      <c r="A38" s="153"/>
      <c r="B38" s="153"/>
      <c r="C38" s="153"/>
      <c r="D38" s="153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</row>
    <row r="39" spans="1:15" x14ac:dyDescent="0.55000000000000004">
      <c r="A39" s="153"/>
      <c r="B39" s="153"/>
      <c r="C39" s="153"/>
      <c r="D39" s="153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</row>
    <row r="40" spans="1:15" x14ac:dyDescent="0.55000000000000004">
      <c r="A40" s="153"/>
      <c r="B40" s="153"/>
      <c r="C40" s="153"/>
      <c r="D40" s="153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</row>
    <row r="41" spans="1:15" x14ac:dyDescent="0.55000000000000004">
      <c r="A41" s="154"/>
      <c r="B41" s="154"/>
      <c r="C41" s="154"/>
      <c r="D41" s="154"/>
    </row>
    <row r="42" spans="1:15" x14ac:dyDescent="0.55000000000000004">
      <c r="A42" s="154"/>
      <c r="B42" s="154"/>
      <c r="C42" s="154"/>
      <c r="D42" s="154"/>
    </row>
    <row r="43" spans="1:15" x14ac:dyDescent="0.55000000000000004">
      <c r="A43" s="154"/>
      <c r="B43" s="154"/>
      <c r="C43" s="154"/>
      <c r="D43" s="154"/>
    </row>
    <row r="44" spans="1:15" x14ac:dyDescent="0.55000000000000004">
      <c r="A44" s="154"/>
      <c r="B44" s="154"/>
      <c r="C44" s="154"/>
      <c r="D44" s="154"/>
    </row>
    <row r="45" spans="1:15" x14ac:dyDescent="0.55000000000000004">
      <c r="A45" s="154"/>
      <c r="B45" s="154"/>
      <c r="C45" s="154"/>
      <c r="D45" s="154"/>
    </row>
    <row r="46" spans="1:15" x14ac:dyDescent="0.55000000000000004">
      <c r="A46" s="154"/>
      <c r="B46" s="154"/>
      <c r="C46" s="154"/>
      <c r="D46" s="154"/>
    </row>
    <row r="47" spans="1:15" x14ac:dyDescent="0.55000000000000004">
      <c r="A47" s="154"/>
      <c r="B47" s="154"/>
      <c r="C47" s="154"/>
      <c r="D47" s="154"/>
    </row>
    <row r="48" spans="1:15" x14ac:dyDescent="0.55000000000000004">
      <c r="A48" s="154"/>
      <c r="B48" s="154"/>
      <c r="C48" s="154"/>
      <c r="D48" s="154"/>
    </row>
    <row r="49" spans="1:4" x14ac:dyDescent="0.55000000000000004">
      <c r="A49" s="154"/>
      <c r="B49" s="154"/>
      <c r="C49" s="154"/>
      <c r="D49" s="154"/>
    </row>
    <row r="50" spans="1:4" x14ac:dyDescent="0.55000000000000004">
      <c r="A50" s="154"/>
      <c r="B50" s="154"/>
      <c r="C50" s="154"/>
      <c r="D50" s="154"/>
    </row>
    <row r="51" spans="1:4" x14ac:dyDescent="0.55000000000000004">
      <c r="A51" s="154"/>
      <c r="B51" s="154"/>
      <c r="C51" s="154"/>
      <c r="D51" s="154"/>
    </row>
    <row r="52" spans="1:4" x14ac:dyDescent="0.55000000000000004">
      <c r="A52" s="154"/>
      <c r="B52" s="154"/>
      <c r="C52" s="154"/>
      <c r="D52" s="154"/>
    </row>
    <row r="53" spans="1:4" x14ac:dyDescent="0.55000000000000004">
      <c r="A53" s="154"/>
      <c r="B53" s="154"/>
      <c r="C53" s="154"/>
      <c r="D53" s="154"/>
    </row>
    <row r="54" spans="1:4" x14ac:dyDescent="0.55000000000000004">
      <c r="A54" s="154"/>
      <c r="B54" s="154"/>
      <c r="C54" s="154"/>
      <c r="D54" s="154"/>
    </row>
    <row r="55" spans="1:4" x14ac:dyDescent="0.55000000000000004">
      <c r="A55" s="154"/>
      <c r="B55" s="154"/>
      <c r="C55" s="154"/>
      <c r="D55" s="154"/>
    </row>
    <row r="56" spans="1:4" x14ac:dyDescent="0.55000000000000004">
      <c r="A56" s="154"/>
      <c r="B56" s="154"/>
      <c r="C56" s="154"/>
      <c r="D56" s="154"/>
    </row>
  </sheetData>
  <mergeCells count="4">
    <mergeCell ref="A1:D1"/>
    <mergeCell ref="A2:D2"/>
    <mergeCell ref="A5:D5"/>
    <mergeCell ref="H5:J5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41FBBD8FA52D42A7E4EDFD5FC86327" ma:contentTypeVersion="10" ma:contentTypeDescription="Create a new document." ma:contentTypeScope="" ma:versionID="67ceca0829db6e25b8d1eccdd13bf4d7">
  <xsd:schema xmlns:xsd="http://www.w3.org/2001/XMLSchema" xmlns:xs="http://www.w3.org/2001/XMLSchema" xmlns:p="http://schemas.microsoft.com/office/2006/metadata/properties" xmlns:ns3="09c70c49-7643-48e0-9a13-df0b260be9de" targetNamespace="http://schemas.microsoft.com/office/2006/metadata/properties" ma:root="true" ma:fieldsID="647ba47a4735770b84383d950cc99ce5" ns3:_="">
    <xsd:import namespace="09c70c49-7643-48e0-9a13-df0b260be9d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c70c49-7643-48e0-9a13-df0b260be9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49BF49-F310-4929-B5E7-69E84C5285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0C5EEB-0EC2-4FFC-961C-5EE14F9112BB}">
  <ds:schemaRefs>
    <ds:schemaRef ds:uri="http://schemas.microsoft.com/office/2006/metadata/properties"/>
    <ds:schemaRef ds:uri="http://schemas.openxmlformats.org/package/2006/metadata/core-properties"/>
    <ds:schemaRef ds:uri="http://purl.org/dc/dcmitype/"/>
    <ds:schemaRef ds:uri="09c70c49-7643-48e0-9a13-df0b260be9de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7C2BFBA6-432B-416F-9179-123E347CE7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c70c49-7643-48e0-9a13-df0b260be9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</vt:i4>
      </vt:variant>
    </vt:vector>
  </HeadingPairs>
  <TitlesOfParts>
    <vt:vector size="19" baseType="lpstr">
      <vt:lpstr>BCA</vt:lpstr>
      <vt:lpstr>BCA_CapitalCosts</vt:lpstr>
      <vt:lpstr>PROJECT SUMMARY</vt:lpstr>
      <vt:lpstr>PROJECT SPENDING</vt:lpstr>
      <vt:lpstr>CAPITAL Inflation</vt:lpstr>
      <vt:lpstr>TRIP GENERATION</vt:lpstr>
      <vt:lpstr>CRASH SUMMARY</vt:lpstr>
      <vt:lpstr>EQUITY Ped &amp; Bike</vt:lpstr>
      <vt:lpstr>EQUITY - Bike Commuter</vt:lpstr>
      <vt:lpstr>MOBILITY - Bike Commuter</vt:lpstr>
      <vt:lpstr>MOBILITY Bike Commuter STADIUM</vt:lpstr>
      <vt:lpstr>MOBILITY Ped &amp; Bike</vt:lpstr>
      <vt:lpstr>MOBILITY Ped &amp; Bike UW </vt:lpstr>
      <vt:lpstr>MOBILITY Ped &amp; Bike STADIUM </vt:lpstr>
      <vt:lpstr>SAFETY NOBUILD Crash</vt:lpstr>
      <vt:lpstr>SAFETY BUILD Crash Reduction</vt:lpstr>
      <vt:lpstr>HEALTH Mortality Reduction</vt:lpstr>
      <vt:lpstr>OPERATIONAL Residual</vt:lpstr>
      <vt:lpstr>'PROJECT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Gaskins, Drew</dc:creator>
  <cp:lastModifiedBy>Jeff Branham</cp:lastModifiedBy>
  <cp:lastPrinted>2022-10-05T15:34:11Z</cp:lastPrinted>
  <dcterms:created xsi:type="dcterms:W3CDTF">2020-04-02T14:27:07Z</dcterms:created>
  <dcterms:modified xsi:type="dcterms:W3CDTF">2022-10-07T15:29:04Z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0x0101007E41FBBD8FA52D42A7E4EDFD5FC86327</vt:lpwstr>
  </property>
</Properties>
</file>